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showInkAnnotation="0" defaultThemeVersion="166925"/>
  <mc:AlternateContent xmlns:mc="http://schemas.openxmlformats.org/markup-compatibility/2006">
    <mc:Choice Requires="x15">
      <x15ac:absPath xmlns:x15ac="http://schemas.microsoft.com/office/spreadsheetml/2010/11/ac" url="K:\Strategy Development\Circular Economy\MCI\"/>
    </mc:Choice>
  </mc:AlternateContent>
  <xr:revisionPtr revIDLastSave="0" documentId="13_ncr:1_{9DF1DD06-7834-4282-BD16-6AE3782B58AD}" xr6:coauthVersionLast="47" xr6:coauthVersionMax="47" xr10:uidLastSave="{00000000-0000-0000-0000-000000000000}"/>
  <workbookProtection workbookAlgorithmName="SHA-512" workbookHashValue="FDTJsAMDTmYxKebudcVHVH96ot0/wchpeZXsGeymkZeOjPIGjMMkTEz+Te+4FB6vnKMD5nllqllt6Dht6ediTg==" workbookSaltValue="vdyX7w4YUU7BYuV1FsEoEg==" workbookSpinCount="100000" lockStructure="1"/>
  <bookViews>
    <workbookView xWindow="28680" yWindow="-120" windowWidth="29040" windowHeight="15840" xr2:uid="{00000000-000D-0000-FFFF-FFFF00000000}"/>
  </bookViews>
  <sheets>
    <sheet name="Information" sheetId="6" r:id="rId1"/>
    <sheet name="Read Me" sheetId="7" r:id="rId2"/>
    <sheet name="MCI Calculator" sheetId="1" r:id="rId3"/>
    <sheet name="Decoupling" sheetId="5" r:id="rId4"/>
    <sheet name="Mass Analysis" sheetId="4" r:id="rId5"/>
    <sheet name="Hotspot Calcs" sheetId="3" state="hidden" r:id="rId6"/>
    <sheet name="List" sheetId="2" state="hidden" r:id="rId7"/>
  </sheets>
  <definedNames>
    <definedName name="_xlnm.Print_Area" localSheetId="2">'MCI Calculator'!$A$1:$AH$130</definedName>
  </definedNames>
  <calcPr calcId="191029"/>
  <webPublishing allowPng="1" targetScreenSize="1024x768" codePage="100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2" l="1"/>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F7" i="1" l="1"/>
  <c r="M10" i="1" l="1"/>
  <c r="AG10" i="1"/>
  <c r="AH10" i="1" s="1"/>
  <c r="AL21" i="1"/>
  <c r="AM21" i="1" s="1"/>
  <c r="AL22" i="1"/>
  <c r="AM22" i="1" s="1"/>
  <c r="AL23" i="1"/>
  <c r="AL24" i="1"/>
  <c r="AM24" i="1" s="1"/>
  <c r="AL25" i="1"/>
  <c r="AM25" i="1" s="1"/>
  <c r="AL26" i="1"/>
  <c r="AM26" i="1" s="1"/>
  <c r="AL27" i="1"/>
  <c r="AM27" i="1" s="1"/>
  <c r="AL28" i="1"/>
  <c r="AM28" i="1" s="1"/>
  <c r="AL29" i="1"/>
  <c r="AM29" i="1" s="1"/>
  <c r="AL30" i="1"/>
  <c r="AM30" i="1" s="1"/>
  <c r="AL31" i="1"/>
  <c r="AM31" i="1" s="1"/>
  <c r="AL32" i="1"/>
  <c r="AM32" i="1" s="1"/>
  <c r="AL33" i="1"/>
  <c r="AM33" i="1" s="1"/>
  <c r="AL34" i="1"/>
  <c r="AM34" i="1" s="1"/>
  <c r="AL35" i="1"/>
  <c r="AM35" i="1" s="1"/>
  <c r="AL36" i="1"/>
  <c r="AM36" i="1" s="1"/>
  <c r="AL37" i="1"/>
  <c r="AM37" i="1" s="1"/>
  <c r="AL38" i="1"/>
  <c r="AM38" i="1" s="1"/>
  <c r="AL39" i="1"/>
  <c r="AM39" i="1" s="1"/>
  <c r="AL40" i="1"/>
  <c r="AM40" i="1" s="1"/>
  <c r="S41" i="1"/>
  <c r="S40" i="1"/>
  <c r="S39" i="1"/>
  <c r="S38" i="1"/>
  <c r="S37" i="1"/>
  <c r="S36" i="1"/>
  <c r="S35" i="1"/>
  <c r="S34" i="1"/>
  <c r="S33" i="1"/>
  <c r="S32" i="1"/>
  <c r="S31" i="1"/>
  <c r="S30" i="1"/>
  <c r="S29" i="1"/>
  <c r="U29" i="1" s="1"/>
  <c r="S28" i="1"/>
  <c r="S27" i="1"/>
  <c r="U27" i="1" s="1"/>
  <c r="S26" i="1"/>
  <c r="S25" i="1"/>
  <c r="S24" i="1"/>
  <c r="S23" i="1"/>
  <c r="S22" i="1"/>
  <c r="S21" i="1"/>
  <c r="S20" i="1"/>
  <c r="S19" i="1"/>
  <c r="S18" i="1"/>
  <c r="S17" i="1"/>
  <c r="S16" i="1"/>
  <c r="S15" i="1"/>
  <c r="S14" i="1"/>
  <c r="S13" i="1"/>
  <c r="S12" i="1"/>
  <c r="G4" i="2"/>
  <c r="H4" i="2"/>
  <c r="G5" i="2"/>
  <c r="H5" i="2"/>
  <c r="G6" i="2"/>
  <c r="H6" i="2"/>
  <c r="G7" i="2"/>
  <c r="H7" i="2"/>
  <c r="G8" i="2"/>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G32" i="2"/>
  <c r="H32" i="2"/>
  <c r="G33" i="2"/>
  <c r="H33" i="2"/>
  <c r="G34" i="2"/>
  <c r="H34" i="2"/>
  <c r="G35" i="2"/>
  <c r="H35" i="2"/>
  <c r="G36" i="2"/>
  <c r="H36" i="2"/>
  <c r="G37" i="2"/>
  <c r="H37" i="2"/>
  <c r="G38" i="2"/>
  <c r="H38" i="2"/>
  <c r="G39" i="2"/>
  <c r="H39" i="2"/>
  <c r="G40" i="2"/>
  <c r="H40" i="2"/>
  <c r="G41" i="2"/>
  <c r="H41" i="2"/>
  <c r="G42" i="2"/>
  <c r="H42" i="2"/>
  <c r="G43" i="2"/>
  <c r="H43" i="2"/>
  <c r="G44" i="2"/>
  <c r="H44" i="2"/>
  <c r="G45" i="2"/>
  <c r="H45" i="2"/>
  <c r="G46" i="2"/>
  <c r="H46" i="2"/>
  <c r="G47" i="2"/>
  <c r="H47" i="2"/>
  <c r="G48" i="2"/>
  <c r="H48" i="2"/>
  <c r="G49" i="2"/>
  <c r="H49" i="2"/>
  <c r="G50" i="2"/>
  <c r="H50" i="2"/>
  <c r="G51" i="2"/>
  <c r="H51" i="2"/>
  <c r="G52" i="2"/>
  <c r="H52" i="2"/>
  <c r="G53" i="2"/>
  <c r="H53" i="2"/>
  <c r="G54" i="2"/>
  <c r="H54" i="2"/>
  <c r="G55" i="2"/>
  <c r="H55" i="2"/>
  <c r="G56" i="2"/>
  <c r="H56" i="2"/>
  <c r="G57" i="2"/>
  <c r="H57" i="2"/>
  <c r="G58" i="2"/>
  <c r="H58" i="2"/>
  <c r="G59" i="2"/>
  <c r="H59" i="2"/>
  <c r="G60" i="2"/>
  <c r="H60" i="2"/>
  <c r="G61" i="2"/>
  <c r="H61" i="2"/>
  <c r="G62" i="2"/>
  <c r="H62" i="2"/>
  <c r="H3" i="2"/>
  <c r="G3" i="2"/>
  <c r="D3" i="2"/>
  <c r="B3" i="3"/>
  <c r="B4" i="3"/>
  <c r="C4" i="3"/>
  <c r="D4" i="3"/>
  <c r="B5" i="3"/>
  <c r="C5" i="3"/>
  <c r="D5" i="3"/>
  <c r="B6" i="3"/>
  <c r="C6" i="3"/>
  <c r="D6" i="3"/>
  <c r="B7" i="3"/>
  <c r="C7" i="3"/>
  <c r="D7" i="3"/>
  <c r="B8" i="3"/>
  <c r="C8" i="3"/>
  <c r="D8" i="3"/>
  <c r="B9" i="3"/>
  <c r="C9" i="3"/>
  <c r="D9" i="3"/>
  <c r="B10" i="3"/>
  <c r="C10" i="3"/>
  <c r="D10" i="3"/>
  <c r="B11" i="3"/>
  <c r="C11" i="3"/>
  <c r="D11" i="3"/>
  <c r="B12" i="3"/>
  <c r="C12" i="3"/>
  <c r="D12" i="3"/>
  <c r="B13" i="3"/>
  <c r="C13" i="3"/>
  <c r="D13" i="3"/>
  <c r="B14" i="3"/>
  <c r="C14" i="3"/>
  <c r="D14" i="3"/>
  <c r="B15" i="3"/>
  <c r="C15" i="3"/>
  <c r="D15" i="3"/>
  <c r="B16" i="3"/>
  <c r="C16" i="3"/>
  <c r="D16" i="3"/>
  <c r="B17" i="3"/>
  <c r="C17" i="3"/>
  <c r="D17" i="3"/>
  <c r="B18" i="3"/>
  <c r="C18" i="3"/>
  <c r="D18" i="3"/>
  <c r="B19" i="3"/>
  <c r="C19" i="3"/>
  <c r="D19" i="3"/>
  <c r="B20" i="3"/>
  <c r="C20" i="3"/>
  <c r="D20" i="3"/>
  <c r="B21" i="3"/>
  <c r="C21" i="3"/>
  <c r="D21" i="3"/>
  <c r="B22" i="3"/>
  <c r="C22" i="3"/>
  <c r="D22" i="3"/>
  <c r="B23" i="3"/>
  <c r="C23" i="3"/>
  <c r="D23" i="3"/>
  <c r="B24" i="3"/>
  <c r="C24" i="3"/>
  <c r="D24" i="3"/>
  <c r="B25" i="3"/>
  <c r="C25" i="3"/>
  <c r="D25" i="3"/>
  <c r="B26" i="3"/>
  <c r="C26" i="3"/>
  <c r="D26" i="3"/>
  <c r="B27" i="3"/>
  <c r="C27" i="3"/>
  <c r="D27" i="3"/>
  <c r="B28" i="3"/>
  <c r="C28" i="3"/>
  <c r="D28" i="3"/>
  <c r="B29" i="3"/>
  <c r="C29" i="3"/>
  <c r="D29" i="3"/>
  <c r="B30" i="3"/>
  <c r="C30" i="3"/>
  <c r="D30" i="3"/>
  <c r="B31" i="3"/>
  <c r="C31" i="3"/>
  <c r="D31" i="3"/>
  <c r="B32" i="3"/>
  <c r="C32" i="3"/>
  <c r="D32" i="3"/>
  <c r="U30" i="1"/>
  <c r="O24" i="1"/>
  <c r="AO24" i="1" s="1"/>
  <c r="O25" i="1"/>
  <c r="AO25" i="1" s="1"/>
  <c r="O26" i="1"/>
  <c r="AO26" i="1" s="1"/>
  <c r="O27" i="1"/>
  <c r="AO27" i="1" s="1"/>
  <c r="O28" i="1"/>
  <c r="AO28" i="1" s="1"/>
  <c r="O29" i="1"/>
  <c r="AO29" i="1" s="1"/>
  <c r="O30" i="1"/>
  <c r="AO30" i="1" s="1"/>
  <c r="C23" i="2"/>
  <c r="D23" i="2"/>
  <c r="C24" i="2"/>
  <c r="D24" i="2"/>
  <c r="C25" i="2"/>
  <c r="D25" i="2"/>
  <c r="C26" i="2"/>
  <c r="D26" i="2"/>
  <c r="C27" i="2"/>
  <c r="D27" i="2"/>
  <c r="C28" i="2"/>
  <c r="D28" i="2"/>
  <c r="C29" i="2"/>
  <c r="D29" i="2"/>
  <c r="C30" i="2"/>
  <c r="D30" i="2"/>
  <c r="C31" i="2"/>
  <c r="D31" i="2"/>
  <c r="C32" i="2"/>
  <c r="D32" i="2"/>
  <c r="C33" i="2"/>
  <c r="D33" i="2"/>
  <c r="C34" i="2"/>
  <c r="D34" i="2"/>
  <c r="C35" i="2"/>
  <c r="D35" i="2"/>
  <c r="C36" i="2"/>
  <c r="D36" i="2"/>
  <c r="C37" i="2"/>
  <c r="D37" i="2"/>
  <c r="C38" i="2"/>
  <c r="D38" i="2"/>
  <c r="C39" i="2"/>
  <c r="D39" i="2"/>
  <c r="C40" i="2"/>
  <c r="D40" i="2"/>
  <c r="C41" i="2"/>
  <c r="D41" i="2"/>
  <c r="C42" i="2"/>
  <c r="D42" i="2"/>
  <c r="C43" i="2"/>
  <c r="D43" i="2"/>
  <c r="C44" i="2"/>
  <c r="D44" i="2"/>
  <c r="C45" i="2"/>
  <c r="D45" i="2"/>
  <c r="C46" i="2"/>
  <c r="D46" i="2"/>
  <c r="C47" i="2"/>
  <c r="D47" i="2"/>
  <c r="C48" i="2"/>
  <c r="D48" i="2"/>
  <c r="C49" i="2"/>
  <c r="D49" i="2"/>
  <c r="C50" i="2"/>
  <c r="D50" i="2"/>
  <c r="C51" i="2"/>
  <c r="D51" i="2"/>
  <c r="C52" i="2"/>
  <c r="D52" i="2"/>
  <c r="C53" i="2"/>
  <c r="D53" i="2"/>
  <c r="C54" i="2"/>
  <c r="D54" i="2"/>
  <c r="C55" i="2"/>
  <c r="D55" i="2"/>
  <c r="C56" i="2"/>
  <c r="D56" i="2"/>
  <c r="C57" i="2"/>
  <c r="D57" i="2"/>
  <c r="C58" i="2"/>
  <c r="D58" i="2"/>
  <c r="C59" i="2"/>
  <c r="D59" i="2"/>
  <c r="C60" i="2"/>
  <c r="D60" i="2"/>
  <c r="C61" i="2"/>
  <c r="D61" i="2"/>
  <c r="C62" i="2"/>
  <c r="D62" i="2"/>
  <c r="O36" i="1"/>
  <c r="AO36" i="1" s="1"/>
  <c r="O37" i="1"/>
  <c r="AO37" i="1" s="1"/>
  <c r="O38" i="1"/>
  <c r="AO38" i="1" s="1"/>
  <c r="O39" i="1"/>
  <c r="AO39" i="1" s="1"/>
  <c r="O40" i="1"/>
  <c r="AO40" i="1" s="1"/>
  <c r="O41" i="1"/>
  <c r="AO41" i="1" s="1"/>
  <c r="O35" i="1"/>
  <c r="AO35" i="1" s="1"/>
  <c r="O34" i="1"/>
  <c r="AO34" i="1" s="1"/>
  <c r="O33" i="1"/>
  <c r="AO33" i="1" s="1"/>
  <c r="O32" i="1"/>
  <c r="AO32" i="1" s="1"/>
  <c r="O31" i="1"/>
  <c r="AO31" i="1" s="1"/>
  <c r="O23" i="1"/>
  <c r="AO23" i="1" s="1"/>
  <c r="O22" i="1"/>
  <c r="AO22" i="1" s="1"/>
  <c r="O21" i="1"/>
  <c r="AO21" i="1" s="1"/>
  <c r="O20" i="1"/>
  <c r="AO20" i="1" s="1"/>
  <c r="O19" i="1"/>
  <c r="AO19" i="1" s="1"/>
  <c r="O18" i="1"/>
  <c r="AO18" i="1" s="1"/>
  <c r="O17" i="1"/>
  <c r="AO17" i="1" s="1"/>
  <c r="O16" i="1"/>
  <c r="AO16" i="1" s="1"/>
  <c r="O15" i="1"/>
  <c r="AO15" i="1" s="1"/>
  <c r="O14" i="1"/>
  <c r="AO14" i="1" s="1"/>
  <c r="O13" i="1"/>
  <c r="AO13" i="1" s="1"/>
  <c r="O12" i="1"/>
  <c r="AO12" i="1" s="1"/>
  <c r="C3" i="2"/>
  <c r="T37" i="1" s="1"/>
  <c r="D22" i="2"/>
  <c r="D21" i="2"/>
  <c r="D20" i="2"/>
  <c r="D19" i="2"/>
  <c r="D18" i="2"/>
  <c r="D17" i="2"/>
  <c r="D16" i="2"/>
  <c r="D15" i="2"/>
  <c r="D14" i="2"/>
  <c r="D13" i="2"/>
  <c r="D12" i="2"/>
  <c r="D11" i="2"/>
  <c r="D10" i="2"/>
  <c r="D9" i="2"/>
  <c r="U37" i="1" s="1"/>
  <c r="D8" i="2"/>
  <c r="D7" i="2"/>
  <c r="D6" i="2"/>
  <c r="D5" i="2"/>
  <c r="D4" i="2"/>
  <c r="C22" i="2"/>
  <c r="C21" i="2"/>
  <c r="C20" i="2"/>
  <c r="C19" i="2"/>
  <c r="C18" i="2"/>
  <c r="C17" i="2"/>
  <c r="C16" i="2"/>
  <c r="C15" i="2"/>
  <c r="C14" i="2"/>
  <c r="C13" i="2"/>
  <c r="C12" i="2"/>
  <c r="C11" i="2"/>
  <c r="C10" i="2"/>
  <c r="C9" i="2"/>
  <c r="C8" i="2"/>
  <c r="C7" i="2"/>
  <c r="C6" i="2"/>
  <c r="C5" i="2"/>
  <c r="C4" i="2"/>
  <c r="AA37" i="1" l="1"/>
  <c r="AJ37" i="1" s="1"/>
  <c r="AK37" i="1" s="1"/>
  <c r="U25" i="1"/>
  <c r="AB25" i="1" s="1"/>
  <c r="U26" i="1"/>
  <c r="AB26" i="1" s="1"/>
  <c r="AO42" i="1"/>
  <c r="AM23" i="1"/>
  <c r="AB30" i="1"/>
  <c r="AB29" i="1"/>
  <c r="AB37" i="1"/>
  <c r="T12" i="1"/>
  <c r="E30" i="3"/>
  <c r="E24" i="3"/>
  <c r="AB27" i="1"/>
  <c r="E14" i="3"/>
  <c r="E22" i="3"/>
  <c r="G15" i="3"/>
  <c r="G7" i="3"/>
  <c r="E6" i="3"/>
  <c r="E15" i="3"/>
  <c r="E7" i="3"/>
  <c r="E21" i="3"/>
  <c r="E13" i="3"/>
  <c r="E5" i="3"/>
  <c r="E16" i="3"/>
  <c r="E8" i="3"/>
  <c r="E28" i="3"/>
  <c r="E20" i="3"/>
  <c r="E12" i="3"/>
  <c r="T29" i="1"/>
  <c r="AA29" i="1" s="1"/>
  <c r="AJ29" i="1" s="1"/>
  <c r="AK29" i="1" s="1"/>
  <c r="T38" i="1"/>
  <c r="AA38" i="1" s="1"/>
  <c r="AJ38" i="1" s="1"/>
  <c r="T36" i="1"/>
  <c r="AA36" i="1" s="1"/>
  <c r="AJ36" i="1" s="1"/>
  <c r="AK36" i="1" s="1"/>
  <c r="E32" i="3"/>
  <c r="G31" i="3"/>
  <c r="G30" i="3"/>
  <c r="E29" i="3"/>
  <c r="G28" i="3"/>
  <c r="E27" i="3"/>
  <c r="G26" i="3"/>
  <c r="E25" i="3"/>
  <c r="G24" i="3"/>
  <c r="G23" i="3"/>
  <c r="G22" i="3"/>
  <c r="G21" i="3"/>
  <c r="G20" i="3"/>
  <c r="E19" i="3"/>
  <c r="G18" i="3"/>
  <c r="E17" i="3"/>
  <c r="G16" i="3"/>
  <c r="G14" i="3"/>
  <c r="G13" i="3"/>
  <c r="G12" i="3"/>
  <c r="E11" i="3"/>
  <c r="G10" i="3"/>
  <c r="E9" i="3"/>
  <c r="G8" i="3"/>
  <c r="G6" i="3"/>
  <c r="G5" i="3"/>
  <c r="E4" i="3"/>
  <c r="G32" i="3"/>
  <c r="G25" i="3"/>
  <c r="G17" i="3"/>
  <c r="G9" i="3"/>
  <c r="E10" i="3"/>
  <c r="E26" i="3"/>
  <c r="E18" i="3"/>
  <c r="G29" i="3"/>
  <c r="G27" i="3"/>
  <c r="G19" i="3"/>
  <c r="G11" i="3"/>
  <c r="E31" i="3"/>
  <c r="E23" i="3"/>
  <c r="G4" i="3"/>
  <c r="T30" i="1"/>
  <c r="AA30" i="1" s="1"/>
  <c r="AJ30" i="1" s="1"/>
  <c r="T24" i="1"/>
  <c r="AA24" i="1" s="1"/>
  <c r="AJ24" i="1" s="1"/>
  <c r="T27" i="1"/>
  <c r="AA27" i="1" s="1"/>
  <c r="AJ27" i="1" s="1"/>
  <c r="T26" i="1"/>
  <c r="AA26" i="1" s="1"/>
  <c r="AJ26" i="1" s="1"/>
  <c r="AK26" i="1" s="1"/>
  <c r="T28" i="1"/>
  <c r="AA28" i="1" s="1"/>
  <c r="AJ28" i="1" s="1"/>
  <c r="T25" i="1"/>
  <c r="AA25" i="1" s="1"/>
  <c r="AJ25" i="1" s="1"/>
  <c r="AK25" i="1" s="1"/>
  <c r="U28" i="1"/>
  <c r="AB28" i="1" s="1"/>
  <c r="U24" i="1"/>
  <c r="AB24" i="1" s="1"/>
  <c r="U38" i="1"/>
  <c r="AB38" i="1" s="1"/>
  <c r="U36" i="1"/>
  <c r="AB36" i="1" s="1"/>
  <c r="W37" i="1"/>
  <c r="R37" i="1" s="1"/>
  <c r="Y37" i="1"/>
  <c r="AG37" i="1" s="1"/>
  <c r="D3" i="3"/>
  <c r="C3" i="3"/>
  <c r="AN37" i="1" l="1"/>
  <c r="AQ37" i="1" s="1"/>
  <c r="AK24" i="1"/>
  <c r="AN24" i="1"/>
  <c r="AQ24" i="1" s="1"/>
  <c r="AN25" i="1"/>
  <c r="AQ25" i="1" s="1"/>
  <c r="AN26" i="1"/>
  <c r="AQ26" i="1" s="1"/>
  <c r="AN27" i="1"/>
  <c r="AQ27" i="1" s="1"/>
  <c r="AK27" i="1"/>
  <c r="AK28" i="1"/>
  <c r="AN28" i="1"/>
  <c r="AQ28" i="1" s="1"/>
  <c r="AN29" i="1"/>
  <c r="AQ29" i="1" s="1"/>
  <c r="AK30" i="1"/>
  <c r="AN30" i="1"/>
  <c r="AQ30" i="1" s="1"/>
  <c r="AN36" i="1"/>
  <c r="AQ36" i="1" s="1"/>
  <c r="AC37" i="1"/>
  <c r="V37" i="1" s="1"/>
  <c r="AK38" i="1"/>
  <c r="AN38" i="1"/>
  <c r="AQ38" i="1" s="1"/>
  <c r="I28" i="3"/>
  <c r="W36" i="1"/>
  <c r="R36" i="1" s="1"/>
  <c r="Y29" i="1"/>
  <c r="W29" i="1"/>
  <c r="R29" i="1" s="1"/>
  <c r="G3" i="3"/>
  <c r="E3" i="3"/>
  <c r="Y26" i="1"/>
  <c r="Y30" i="1"/>
  <c r="W30" i="1"/>
  <c r="R30" i="1" s="1"/>
  <c r="W25" i="1"/>
  <c r="R25" i="1" s="1"/>
  <c r="Y25" i="1"/>
  <c r="Y27" i="1"/>
  <c r="W26" i="1"/>
  <c r="R26" i="1" s="1"/>
  <c r="W27" i="1"/>
  <c r="R27" i="1" s="1"/>
  <c r="W28" i="1"/>
  <c r="R28" i="1" s="1"/>
  <c r="Y28" i="1"/>
  <c r="W24" i="1"/>
  <c r="R24" i="1" s="1"/>
  <c r="Y24" i="1"/>
  <c r="W38" i="1"/>
  <c r="R38" i="1" s="1"/>
  <c r="Y38" i="1"/>
  <c r="Y36" i="1"/>
  <c r="AG24" i="1" l="1"/>
  <c r="AC24" i="1"/>
  <c r="V24" i="1" s="1"/>
  <c r="AC25" i="1"/>
  <c r="V25" i="1" s="1"/>
  <c r="AG25" i="1"/>
  <c r="AG26" i="1"/>
  <c r="AC26" i="1"/>
  <c r="V26" i="1" s="1"/>
  <c r="AC27" i="1"/>
  <c r="V27" i="1" s="1"/>
  <c r="AG27" i="1"/>
  <c r="AG28" i="1"/>
  <c r="AC28" i="1"/>
  <c r="V28" i="1" s="1"/>
  <c r="AC29" i="1"/>
  <c r="V29" i="1" s="1"/>
  <c r="AG29" i="1"/>
  <c r="AC30" i="1"/>
  <c r="V30" i="1" s="1"/>
  <c r="AG30" i="1"/>
  <c r="AC36" i="1"/>
  <c r="V36" i="1" s="1"/>
  <c r="AG36" i="1"/>
  <c r="AD37" i="1"/>
  <c r="AH37" i="1" s="1"/>
  <c r="AC38" i="1"/>
  <c r="V38" i="1" s="1"/>
  <c r="AG38" i="1"/>
  <c r="I19" i="3"/>
  <c r="I18" i="3"/>
  <c r="AD27" i="1"/>
  <c r="AH27" i="1" s="1"/>
  <c r="I17" i="3"/>
  <c r="I16" i="3"/>
  <c r="I15" i="3"/>
  <c r="I20" i="3"/>
  <c r="F28" i="3"/>
  <c r="F6" i="3"/>
  <c r="F32" i="3"/>
  <c r="F31" i="3"/>
  <c r="F12" i="3"/>
  <c r="F25" i="3"/>
  <c r="F10" i="3"/>
  <c r="F23" i="3"/>
  <c r="F30" i="3"/>
  <c r="F20" i="3"/>
  <c r="F22" i="3"/>
  <c r="F19" i="3"/>
  <c r="F9" i="3"/>
  <c r="F26" i="3"/>
  <c r="F21" i="3"/>
  <c r="F16" i="3"/>
  <c r="F4" i="3"/>
  <c r="F5" i="3"/>
  <c r="F27" i="3"/>
  <c r="F15" i="3"/>
  <c r="F3" i="3"/>
  <c r="F14" i="3"/>
  <c r="F8" i="3"/>
  <c r="F17" i="3"/>
  <c r="F7" i="3"/>
  <c r="F24" i="3"/>
  <c r="F11" i="3"/>
  <c r="F13" i="3"/>
  <c r="F18" i="3"/>
  <c r="F29" i="3"/>
  <c r="H31" i="3"/>
  <c r="H27" i="3"/>
  <c r="H21" i="3"/>
  <c r="H5" i="3"/>
  <c r="H23" i="3"/>
  <c r="H19" i="3"/>
  <c r="H25" i="3"/>
  <c r="H10" i="3"/>
  <c r="H14" i="3"/>
  <c r="H29" i="3"/>
  <c r="H30" i="3"/>
  <c r="H11" i="3"/>
  <c r="H17" i="3"/>
  <c r="H9" i="3"/>
  <c r="H26" i="3"/>
  <c r="H32" i="3"/>
  <c r="H6" i="3"/>
  <c r="H16" i="3"/>
  <c r="H28" i="3"/>
  <c r="H8" i="3"/>
  <c r="H7" i="3"/>
  <c r="H4" i="3"/>
  <c r="H13" i="3"/>
  <c r="H22" i="3"/>
  <c r="H20" i="3"/>
  <c r="H3" i="3"/>
  <c r="H18" i="3"/>
  <c r="H15" i="3"/>
  <c r="H24" i="3"/>
  <c r="H12" i="3"/>
  <c r="I27" i="3"/>
  <c r="I21" i="3"/>
  <c r="I29" i="3"/>
  <c r="AA12" i="1"/>
  <c r="AJ12" i="1" s="1"/>
  <c r="U12" i="1"/>
  <c r="AB12" i="1" s="1"/>
  <c r="AL12" i="1" s="1"/>
  <c r="AD24" i="1" l="1"/>
  <c r="AH24" i="1" s="1"/>
  <c r="AD30" i="1"/>
  <c r="AH30" i="1" s="1"/>
  <c r="AD25" i="1"/>
  <c r="AH25" i="1" s="1"/>
  <c r="AD26" i="1"/>
  <c r="AH26" i="1" s="1"/>
  <c r="AD28" i="1"/>
  <c r="AH28" i="1" s="1"/>
  <c r="AD29" i="1"/>
  <c r="AH29" i="1" s="1"/>
  <c r="AD36" i="1"/>
  <c r="AH36" i="1" s="1"/>
  <c r="AD38" i="1"/>
  <c r="AH38" i="1" s="1"/>
  <c r="AM12" i="1"/>
  <c r="AK12" i="1"/>
  <c r="W12" i="1"/>
  <c r="R12" i="1" s="1"/>
  <c r="Y12" i="1"/>
  <c r="AC12" i="1" s="1"/>
  <c r="AN12" i="1" l="1"/>
  <c r="AQ12" i="1" s="1"/>
  <c r="AG12" i="1"/>
  <c r="V12" i="1"/>
  <c r="I3" i="3"/>
  <c r="T14" i="1"/>
  <c r="AA14" i="1" s="1"/>
  <c r="U14" i="1"/>
  <c r="AB14" i="1" s="1"/>
  <c r="AL14" i="1" s="1"/>
  <c r="AM14" i="1" s="1"/>
  <c r="T13" i="1"/>
  <c r="U13" i="1"/>
  <c r="AB13" i="1" s="1"/>
  <c r="AL13" i="1" s="1"/>
  <c r="AM13" i="1" l="1"/>
  <c r="AJ14" i="1"/>
  <c r="AA13" i="1"/>
  <c r="AJ13" i="1" s="1"/>
  <c r="Y14" i="1"/>
  <c r="W13" i="1"/>
  <c r="Y13" i="1"/>
  <c r="AD12" i="1"/>
  <c r="AH12" i="1" s="1"/>
  <c r="W14" i="1"/>
  <c r="AK14" i="1" l="1"/>
  <c r="AN14" i="1" s="1"/>
  <c r="AQ14" i="1" s="1"/>
  <c r="AK13" i="1"/>
  <c r="AN13" i="1" s="1"/>
  <c r="AQ13" i="1" s="1"/>
  <c r="AC14" i="1"/>
  <c r="V14" i="1" s="1"/>
  <c r="AG14" i="1"/>
  <c r="AG13" i="1"/>
  <c r="AC13" i="1"/>
  <c r="V13" i="1" s="1"/>
  <c r="I4" i="3"/>
  <c r="I5" i="3"/>
  <c r="T18" i="1"/>
  <c r="AA18" i="1" s="1"/>
  <c r="AJ18" i="1" s="1"/>
  <c r="U18" i="1"/>
  <c r="AB18" i="1" s="1"/>
  <c r="AL18" i="1" s="1"/>
  <c r="AM18" i="1" s="1"/>
  <c r="T17" i="1"/>
  <c r="AA17" i="1" s="1"/>
  <c r="AJ17" i="1" s="1"/>
  <c r="U17" i="1"/>
  <c r="AB17" i="1" s="1"/>
  <c r="AL17" i="1" s="1"/>
  <c r="AM17" i="1" s="1"/>
  <c r="T15" i="1"/>
  <c r="AA15" i="1" s="1"/>
  <c r="U15" i="1"/>
  <c r="AB15" i="1" s="1"/>
  <c r="AL15" i="1" s="1"/>
  <c r="T20" i="1"/>
  <c r="AA20" i="1" s="1"/>
  <c r="AJ20" i="1" s="1"/>
  <c r="U20" i="1"/>
  <c r="AB20" i="1" s="1"/>
  <c r="AL20" i="1" s="1"/>
  <c r="AM20" i="1" s="1"/>
  <c r="T19" i="1"/>
  <c r="AA19" i="1" s="1"/>
  <c r="AJ19" i="1" s="1"/>
  <c r="U19" i="1"/>
  <c r="AB19" i="1" s="1"/>
  <c r="AL19" i="1" s="1"/>
  <c r="AM19" i="1" s="1"/>
  <c r="T16" i="1"/>
  <c r="AA16" i="1" s="1"/>
  <c r="AJ16" i="1" s="1"/>
  <c r="U16" i="1"/>
  <c r="AB16" i="1" s="1"/>
  <c r="AL16" i="1" s="1"/>
  <c r="AM16" i="1" s="1"/>
  <c r="R13" i="1"/>
  <c r="R14" i="1"/>
  <c r="AK20" i="1" l="1"/>
  <c r="AN20" i="1" s="1"/>
  <c r="AQ20" i="1" s="1"/>
  <c r="AM15" i="1"/>
  <c r="AK19" i="1"/>
  <c r="AN19" i="1" s="1"/>
  <c r="AQ19" i="1" s="1"/>
  <c r="AK18" i="1"/>
  <c r="AN18" i="1" s="1"/>
  <c r="AQ18" i="1" s="1"/>
  <c r="AK17" i="1"/>
  <c r="AN17" i="1" s="1"/>
  <c r="AQ17" i="1" s="1"/>
  <c r="AK16" i="1"/>
  <c r="AN16" i="1" s="1"/>
  <c r="AQ16" i="1" s="1"/>
  <c r="AJ15" i="1"/>
  <c r="AD14" i="1"/>
  <c r="AH14" i="1" s="1"/>
  <c r="AD13" i="1"/>
  <c r="AH13" i="1" s="1"/>
  <c r="Y16" i="1"/>
  <c r="Y19" i="1"/>
  <c r="Y17" i="1"/>
  <c r="Y18" i="1"/>
  <c r="Y20" i="1"/>
  <c r="Y15" i="1"/>
  <c r="W15" i="1"/>
  <c r="W19" i="1"/>
  <c r="W16" i="1"/>
  <c r="W20" i="1"/>
  <c r="W17" i="1"/>
  <c r="W18" i="1"/>
  <c r="AC20" i="1" l="1"/>
  <c r="V20" i="1" s="1"/>
  <c r="AG20" i="1"/>
  <c r="AG19" i="1"/>
  <c r="AC19" i="1"/>
  <c r="V19" i="1" s="1"/>
  <c r="AG18" i="1"/>
  <c r="AC18" i="1"/>
  <c r="V18" i="1" s="1"/>
  <c r="AG17" i="1"/>
  <c r="AC17" i="1"/>
  <c r="V17" i="1" s="1"/>
  <c r="AC16" i="1"/>
  <c r="V16" i="1" s="1"/>
  <c r="AG16" i="1"/>
  <c r="AK15" i="1"/>
  <c r="AN15" i="1" s="1"/>
  <c r="AQ15" i="1" s="1"/>
  <c r="AG15" i="1"/>
  <c r="AC15" i="1"/>
  <c r="V15" i="1" s="1"/>
  <c r="I6" i="3"/>
  <c r="I11" i="3"/>
  <c r="I9" i="3"/>
  <c r="I8" i="3"/>
  <c r="I10" i="3"/>
  <c r="I7" i="3"/>
  <c r="T21" i="1"/>
  <c r="AA21" i="1" s="1"/>
  <c r="AJ21" i="1" s="1"/>
  <c r="U21" i="1"/>
  <c r="AB21" i="1" s="1"/>
  <c r="R20" i="1"/>
  <c r="R19" i="1"/>
  <c r="R18" i="1"/>
  <c r="R16" i="1"/>
  <c r="R15" i="1"/>
  <c r="R17" i="1"/>
  <c r="AD20" i="1" l="1"/>
  <c r="AH20" i="1" s="1"/>
  <c r="AK21" i="1"/>
  <c r="AN21" i="1"/>
  <c r="AQ21" i="1" s="1"/>
  <c r="AD19" i="1"/>
  <c r="AH19" i="1" s="1"/>
  <c r="AD16" i="1"/>
  <c r="AH16" i="1" s="1"/>
  <c r="AD15" i="1"/>
  <c r="AH15" i="1" s="1"/>
  <c r="AD18" i="1"/>
  <c r="AH18" i="1" s="1"/>
  <c r="AD17" i="1"/>
  <c r="AH17" i="1" s="1"/>
  <c r="T22" i="1"/>
  <c r="AA22" i="1" s="1"/>
  <c r="AJ22" i="1" s="1"/>
  <c r="U22" i="1"/>
  <c r="AB22" i="1" s="1"/>
  <c r="Y21" i="1"/>
  <c r="W21" i="1"/>
  <c r="AD21" i="1" l="1"/>
  <c r="AH21" i="1" s="1"/>
  <c r="AC21" i="1"/>
  <c r="V21" i="1" s="1"/>
  <c r="AG21" i="1"/>
  <c r="AK22" i="1"/>
  <c r="AN22" i="1"/>
  <c r="AQ22" i="1" s="1"/>
  <c r="I12" i="3"/>
  <c r="T23" i="1"/>
  <c r="AA23" i="1" s="1"/>
  <c r="AJ23" i="1" s="1"/>
  <c r="U23" i="1"/>
  <c r="AB23" i="1" s="1"/>
  <c r="Y22" i="1"/>
  <c r="W22" i="1"/>
  <c r="R22" i="1" s="1"/>
  <c r="R21" i="1"/>
  <c r="AC22" i="1" l="1"/>
  <c r="V22" i="1" s="1"/>
  <c r="AG22" i="1"/>
  <c r="AN23" i="1"/>
  <c r="AQ23" i="1" s="1"/>
  <c r="AK23" i="1"/>
  <c r="I13" i="3"/>
  <c r="T31" i="1"/>
  <c r="AA31" i="1" s="1"/>
  <c r="AJ31" i="1" s="1"/>
  <c r="U31" i="1"/>
  <c r="AB31" i="1" s="1"/>
  <c r="Y23" i="1"/>
  <c r="W23" i="1"/>
  <c r="R23" i="1" s="1"/>
  <c r="AD22" i="1" l="1"/>
  <c r="AH22" i="1" s="1"/>
  <c r="AD23" i="1"/>
  <c r="AH23" i="1" s="1"/>
  <c r="AC23" i="1"/>
  <c r="V23" i="1" s="1"/>
  <c r="AG23" i="1"/>
  <c r="AK31" i="1"/>
  <c r="AN31" i="1"/>
  <c r="AQ31" i="1" s="1"/>
  <c r="I14" i="3"/>
  <c r="T32" i="1"/>
  <c r="AA32" i="1" s="1"/>
  <c r="AJ32" i="1" s="1"/>
  <c r="U32" i="1"/>
  <c r="AB32" i="1" s="1"/>
  <c r="Y31" i="1"/>
  <c r="W31" i="1"/>
  <c r="R31" i="1" s="1"/>
  <c r="AG31" i="1" l="1"/>
  <c r="AC31" i="1"/>
  <c r="V31" i="1" s="1"/>
  <c r="AK32" i="1"/>
  <c r="AN32" i="1"/>
  <c r="AQ32" i="1" s="1"/>
  <c r="I22" i="3"/>
  <c r="T33" i="1"/>
  <c r="AA33" i="1" s="1"/>
  <c r="AJ33" i="1" s="1"/>
  <c r="U33" i="1"/>
  <c r="AB33" i="1" s="1"/>
  <c r="Y32" i="1"/>
  <c r="W32" i="1"/>
  <c r="R32" i="1" s="1"/>
  <c r="AD31" i="1" l="1"/>
  <c r="AH31" i="1" s="1"/>
  <c r="AG32" i="1"/>
  <c r="AC32" i="1"/>
  <c r="V32" i="1" s="1"/>
  <c r="AK33" i="1"/>
  <c r="AN33" i="1"/>
  <c r="AQ33" i="1" s="1"/>
  <c r="I23" i="3"/>
  <c r="T34" i="1"/>
  <c r="AA34" i="1" s="1"/>
  <c r="AJ34" i="1" s="1"/>
  <c r="U34" i="1"/>
  <c r="AB34" i="1" s="1"/>
  <c r="Y33" i="1"/>
  <c r="W33" i="1"/>
  <c r="R33" i="1" s="1"/>
  <c r="AD32" i="1" l="1"/>
  <c r="AH32" i="1" s="1"/>
  <c r="AC33" i="1"/>
  <c r="V33" i="1" s="1"/>
  <c r="AG33" i="1"/>
  <c r="AK34" i="1"/>
  <c r="AN34" i="1"/>
  <c r="AQ34" i="1" s="1"/>
  <c r="I24" i="3"/>
  <c r="T35" i="1"/>
  <c r="AA35" i="1" s="1"/>
  <c r="AJ35" i="1" s="1"/>
  <c r="U35" i="1"/>
  <c r="AB35" i="1" s="1"/>
  <c r="Y34" i="1"/>
  <c r="W34" i="1"/>
  <c r="R34" i="1" s="1"/>
  <c r="AD33" i="1" l="1"/>
  <c r="AH33" i="1" s="1"/>
  <c r="AG34" i="1"/>
  <c r="AC34" i="1"/>
  <c r="V34" i="1" s="1"/>
  <c r="AN35" i="1"/>
  <c r="AQ35" i="1" s="1"/>
  <c r="AK35" i="1"/>
  <c r="I25" i="3"/>
  <c r="T39" i="1"/>
  <c r="AA39" i="1" s="1"/>
  <c r="AJ39" i="1" s="1"/>
  <c r="U39" i="1"/>
  <c r="AB39" i="1" s="1"/>
  <c r="Y35" i="1"/>
  <c r="W35" i="1"/>
  <c r="R35" i="1" s="1"/>
  <c r="AD34" i="1" l="1"/>
  <c r="AH34" i="1" s="1"/>
  <c r="AG35" i="1"/>
  <c r="AC35" i="1"/>
  <c r="V35" i="1" s="1"/>
  <c r="AK39" i="1"/>
  <c r="AN39" i="1"/>
  <c r="AQ39" i="1" s="1"/>
  <c r="Y39" i="1"/>
  <c r="I26" i="3"/>
  <c r="T40" i="1"/>
  <c r="AA40" i="1" s="1"/>
  <c r="AJ40" i="1" s="1"/>
  <c r="U40" i="1"/>
  <c r="AB40" i="1" s="1"/>
  <c r="W39" i="1"/>
  <c r="AD35" i="1" l="1"/>
  <c r="AH35" i="1" s="1"/>
  <c r="AG39" i="1"/>
  <c r="AC39" i="1"/>
  <c r="V39" i="1" s="1"/>
  <c r="AK40" i="1"/>
  <c r="AN40" i="1"/>
  <c r="AQ40" i="1" s="1"/>
  <c r="I30" i="3"/>
  <c r="Y40" i="1"/>
  <c r="S42" i="1"/>
  <c r="U41" i="1"/>
  <c r="AB41" i="1" s="1"/>
  <c r="AL41" i="1" s="1"/>
  <c r="T41" i="1"/>
  <c r="W40" i="1"/>
  <c r="R40" i="1" s="1"/>
  <c r="R39" i="1"/>
  <c r="C42" i="1"/>
  <c r="AD39" i="1" l="1"/>
  <c r="AH39" i="1" s="1"/>
  <c r="AM41" i="1"/>
  <c r="AL42" i="1"/>
  <c r="AG40" i="1"/>
  <c r="AC40" i="1"/>
  <c r="V40" i="1" s="1"/>
  <c r="AA42" i="1"/>
  <c r="AA41" i="1"/>
  <c r="AJ41" i="1" s="1"/>
  <c r="AM42" i="1"/>
  <c r="I31" i="3"/>
  <c r="U42" i="1"/>
  <c r="AB42" i="1"/>
  <c r="T42" i="1"/>
  <c r="Y41" i="1"/>
  <c r="W41" i="1"/>
  <c r="R41" i="1" s="1"/>
  <c r="AD40" i="1" l="1"/>
  <c r="AH40" i="1" s="1"/>
  <c r="AK41" i="1"/>
  <c r="AN41" i="1"/>
  <c r="AQ41" i="1" s="1"/>
  <c r="AJ42" i="1"/>
  <c r="AK42" i="1"/>
  <c r="AN42" i="1" s="1"/>
  <c r="AQ42" i="1" s="1"/>
  <c r="AC41" i="1"/>
  <c r="V41" i="1" s="1"/>
  <c r="AC42" i="1" s="1"/>
  <c r="Y42" i="1" s="1"/>
  <c r="R42" i="1" s="1"/>
  <c r="AG41" i="1"/>
  <c r="AG42" i="1" s="1"/>
  <c r="I32" i="3"/>
  <c r="AD41" i="1" l="1"/>
  <c r="AH41" i="1" s="1"/>
  <c r="AH42" i="1" s="1"/>
  <c r="V42" i="1"/>
  <c r="Y43" i="1"/>
  <c r="AD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author>
  </authors>
  <commentList>
    <comment ref="AQ11" authorId="0" shapeId="0" xr:uid="{BEC15B6A-E458-4661-A291-445FDCC12A98}">
      <text>
        <r>
          <rPr>
            <b/>
            <sz val="9"/>
            <color indexed="81"/>
            <rFont val="Tahoma"/>
            <family val="2"/>
          </rPr>
          <t xml:space="preserve">Formula: </t>
        </r>
        <r>
          <rPr>
            <sz val="9"/>
            <color indexed="81"/>
            <rFont val="Tahoma"/>
            <family val="2"/>
          </rPr>
          <t xml:space="preserve">
1-((1-Circularity)/Actual Lifetime))</t>
        </r>
      </text>
    </comment>
    <comment ref="AQ42" authorId="0" shapeId="0" xr:uid="{56E4E77B-D4A9-4CB2-B852-BFD1C97B3929}">
      <text>
        <r>
          <rPr>
            <b/>
            <sz val="9"/>
            <color indexed="81"/>
            <rFont val="Tahoma"/>
            <family val="2"/>
          </rPr>
          <t>Only matches MCI when utility is identical for every component</t>
        </r>
      </text>
    </comment>
  </commentList>
</comments>
</file>

<file path=xl/sharedStrings.xml><?xml version="1.0" encoding="utf-8"?>
<sst xmlns="http://schemas.openxmlformats.org/spreadsheetml/2006/main" count="432" uniqueCount="293">
  <si>
    <t>MCI</t>
  </si>
  <si>
    <t>Component Name</t>
  </si>
  <si>
    <t>Quantity</t>
  </si>
  <si>
    <t>Total Mass (kg)</t>
  </si>
  <si>
    <t>Material Type</t>
  </si>
  <si>
    <t>Source</t>
  </si>
  <si>
    <t>% Regenerative</t>
  </si>
  <si>
    <t>Virgin Content (kg)</t>
  </si>
  <si>
    <t>Collection Rate</t>
  </si>
  <si>
    <t>Destination</t>
  </si>
  <si>
    <t>Waste (kg)</t>
  </si>
  <si>
    <t>LFI</t>
  </si>
  <si>
    <t>Reuse</t>
  </si>
  <si>
    <t>Recycle</t>
  </si>
  <si>
    <t>Materials</t>
  </si>
  <si>
    <t>Recycled content</t>
  </si>
  <si>
    <t>Recycling Efficiency</t>
  </si>
  <si>
    <t>Sources</t>
  </si>
  <si>
    <t>Composites</t>
  </si>
  <si>
    <t>Reman</t>
  </si>
  <si>
    <t>Virgin</t>
  </si>
  <si>
    <t>Destinations</t>
  </si>
  <si>
    <t>Compost</t>
  </si>
  <si>
    <t>Energy Recovery</t>
  </si>
  <si>
    <t>Landfill</t>
  </si>
  <si>
    <t>Default</t>
  </si>
  <si>
    <t>Custom</t>
  </si>
  <si>
    <t>Glass</t>
  </si>
  <si>
    <t>Aluminium</t>
  </si>
  <si>
    <t>Steel</t>
  </si>
  <si>
    <t>Recycled Content:</t>
  </si>
  <si>
    <t>Concrete</t>
  </si>
  <si>
    <t>Cost (USD)</t>
  </si>
  <si>
    <t>CO2 (kg CO2 eq/kg)</t>
  </si>
  <si>
    <t>Total Mass</t>
  </si>
  <si>
    <t>Embodied CO2</t>
  </si>
  <si>
    <t>Material Cost</t>
  </si>
  <si>
    <t>Component</t>
  </si>
  <si>
    <t>% Total CO2</t>
  </si>
  <si>
    <t>% Total Cost</t>
  </si>
  <si>
    <t>Embodied CO2 (kg/kg)</t>
  </si>
  <si>
    <t>Material Cost (USD/kg)</t>
  </si>
  <si>
    <t>Fossil Fuels</t>
  </si>
  <si>
    <t>Energy Recovery?</t>
  </si>
  <si>
    <t>Yes</t>
  </si>
  <si>
    <t>No</t>
  </si>
  <si>
    <t>Biological?</t>
  </si>
  <si>
    <t>Utlity Based on</t>
  </si>
  <si>
    <t>L</t>
  </si>
  <si>
    <t>L(av)</t>
  </si>
  <si>
    <t>Utility</t>
  </si>
  <si>
    <t>U</t>
  </si>
  <si>
    <t>Mass</t>
  </si>
  <si>
    <t>M</t>
  </si>
  <si>
    <t>M(av)</t>
  </si>
  <si>
    <t>Lifetime</t>
  </si>
  <si>
    <t>Lifetime &amp; Mass</t>
  </si>
  <si>
    <t>Utility &amp; Mass</t>
  </si>
  <si>
    <t>Unit</t>
  </si>
  <si>
    <t>Units</t>
  </si>
  <si>
    <t>Seconds</t>
  </si>
  <si>
    <t>Minutes</t>
  </si>
  <si>
    <t>Hours</t>
  </si>
  <si>
    <t>Days</t>
  </si>
  <si>
    <t>Weeks</t>
  </si>
  <si>
    <t>Months</t>
  </si>
  <si>
    <t>Years</t>
  </si>
  <si>
    <t>grams</t>
  </si>
  <si>
    <t>kilograms</t>
  </si>
  <si>
    <t>tonnes</t>
  </si>
  <si>
    <t>ounces</t>
  </si>
  <si>
    <t>pounds</t>
  </si>
  <si>
    <t>tons</t>
  </si>
  <si>
    <t>Raw Material Decoupling</t>
  </si>
  <si>
    <t>Waste Decoupling</t>
  </si>
  <si>
    <t>Enhanced Utility</t>
  </si>
  <si>
    <t>Avoided through Utility (kg)</t>
  </si>
  <si>
    <t>Circularity Gap</t>
  </si>
  <si>
    <t>Assumptions / Notes</t>
  </si>
  <si>
    <t>Comprised of:</t>
  </si>
  <si>
    <t>Circular Mass</t>
  </si>
  <si>
    <t>Linear Mass</t>
  </si>
  <si>
    <t>PET (Clear)</t>
  </si>
  <si>
    <t>PET (Coloured)</t>
  </si>
  <si>
    <t>HDPE</t>
  </si>
  <si>
    <t>PP</t>
  </si>
  <si>
    <t>PS</t>
  </si>
  <si>
    <t>EPS</t>
  </si>
  <si>
    <t>Nylon</t>
  </si>
  <si>
    <t>Paper</t>
  </si>
  <si>
    <t>Cardboard</t>
  </si>
  <si>
    <t>Zinc</t>
  </si>
  <si>
    <t>LDPE</t>
  </si>
  <si>
    <t>PVC</t>
  </si>
  <si>
    <t>ABS</t>
  </si>
  <si>
    <t>Polycarbonate</t>
  </si>
  <si>
    <t>Fiberglass</t>
  </si>
  <si>
    <t>Carbon Fiber</t>
  </si>
  <si>
    <t>Copper</t>
  </si>
  <si>
    <t>Brass/Bronze</t>
  </si>
  <si>
    <t>Lead</t>
  </si>
  <si>
    <t>Silicone</t>
  </si>
  <si>
    <t>Nickel</t>
  </si>
  <si>
    <t>Rare Earth Elements</t>
  </si>
  <si>
    <t>Ceramics</t>
  </si>
  <si>
    <t>Bioplastics</t>
  </si>
  <si>
    <t>Asphalt</t>
  </si>
  <si>
    <t>Timber</t>
  </si>
  <si>
    <t>MDF</t>
  </si>
  <si>
    <t>Tyres</t>
  </si>
  <si>
    <t>Cotton</t>
  </si>
  <si>
    <t>Linen</t>
  </si>
  <si>
    <t>Wool</t>
  </si>
  <si>
    <t>Polyester</t>
  </si>
  <si>
    <t>Leather</t>
  </si>
  <si>
    <t>Gypsum</t>
  </si>
  <si>
    <t>Batteries</t>
  </si>
  <si>
    <t>Biofuels</t>
  </si>
  <si>
    <t>Fertilisers</t>
  </si>
  <si>
    <t>Recycling Efficiency:</t>
  </si>
  <si>
    <t>kilotonnes</t>
  </si>
  <si>
    <t>CTI (Circularity)</t>
  </si>
  <si>
    <t>Actual Lifetime</t>
  </si>
  <si>
    <t>Circular Inflow</t>
  </si>
  <si>
    <t>Circular Inflow Total</t>
  </si>
  <si>
    <t>% Circular Outflow</t>
  </si>
  <si>
    <t>% Circular Outflow Total</t>
  </si>
  <si>
    <t>CTI Comparison</t>
  </si>
  <si>
    <t>Note: CTI only adresses Lifetime/Utility at the whole product level, not for individual components</t>
  </si>
  <si>
    <t>Foundation</t>
  </si>
  <si>
    <t>Structural Columns</t>
  </si>
  <si>
    <t>Floor Beams</t>
  </si>
  <si>
    <t>Roof Beams</t>
  </si>
  <si>
    <t>External wall panels</t>
  </si>
  <si>
    <t>Internal wall panels</t>
  </si>
  <si>
    <t>Flooring Sheets</t>
  </si>
  <si>
    <t>Roof Tiles</t>
  </si>
  <si>
    <t>thinkstep Suggested Adjustment</t>
  </si>
  <si>
    <t>Note: CTI doesn't combine Circularity and Utility into one metric, but reports each seperately</t>
  </si>
  <si>
    <t>LED Light bulbs</t>
  </si>
  <si>
    <t>Document Approval and Revision</t>
  </si>
  <si>
    <t>Client:</t>
  </si>
  <si>
    <t>Project name:</t>
  </si>
  <si>
    <t>Report title:</t>
  </si>
  <si>
    <t>Date</t>
  </si>
  <si>
    <t>Author(s):</t>
  </si>
  <si>
    <t>Reviewer(s):</t>
  </si>
  <si>
    <t>Approved:</t>
  </si>
  <si>
    <t>Sensitivity:</t>
  </si>
  <si>
    <t>Audience:</t>
  </si>
  <si>
    <t>Contact:</t>
  </si>
  <si>
    <t>thinkstep ltd</t>
  </si>
  <si>
    <t>www.thinkstep-anz.com</t>
  </si>
  <si>
    <t>thinkstep pty ltd</t>
  </si>
  <si>
    <t>11 Rawhiti Road</t>
  </si>
  <si>
    <t>anz@thinkstep-anz.com</t>
  </si>
  <si>
    <t>25 Jubilee Street</t>
  </si>
  <si>
    <t>Pukerua Bay</t>
  </si>
  <si>
    <t>0064 4 889 2520</t>
  </si>
  <si>
    <t>South Perth</t>
  </si>
  <si>
    <t>0061 2 8007 3330</t>
  </si>
  <si>
    <t>Wellington 5026</t>
  </si>
  <si>
    <t>Western Australia 6151</t>
  </si>
  <si>
    <t>New Zealand</t>
  </si>
  <si>
    <t>Australia</t>
  </si>
  <si>
    <t>Version</t>
  </si>
  <si>
    <t>Changes</t>
  </si>
  <si>
    <t>Author</t>
  </si>
  <si>
    <t>Reviewer</t>
  </si>
  <si>
    <t>Approved</t>
  </si>
  <si>
    <t>Original version</t>
  </si>
  <si>
    <t>Applicability and Limitations</t>
  </si>
  <si>
    <t>Restrictions and Intended Purpose</t>
  </si>
  <si>
    <t>If you have any suggestions, complaints, or any other feedback, please contact us at:</t>
  </si>
  <si>
    <t>feedback@thinkstep-anz.com.</t>
  </si>
  <si>
    <t xml:space="preserve">Legal interpretation </t>
  </si>
  <si>
    <t>Opinions and judgements expressed herein are based on our understanding and interpretation of current regulatory standards and should not be construed as legal opinions. Where opinions or judgements are to be relied on, they should be independently verified with appropriate legal advice.</t>
  </si>
  <si>
    <t>MCI Calculator thinkstep-anz 2024</t>
  </si>
  <si>
    <t>Free MCI Calculator</t>
  </si>
  <si>
    <t>Dr Jim Goddin | Head of Circular Economy</t>
  </si>
  <si>
    <t>Emily Townsend | Services Director</t>
  </si>
  <si>
    <t>Barbara Nebel | CEO</t>
  </si>
  <si>
    <t>Public</t>
  </si>
  <si>
    <t>JG</t>
  </si>
  <si>
    <t>BN</t>
  </si>
  <si>
    <r>
      <t xml:space="preserve">This tool is provided by thinkstep-anz and follows the Material Circularity Indicator methodology as published by the Ellen MacArthur Foundation in 2019. The tool and its results may not be used without attribution. All content is copyright and provided on an as-is basis. No warranty is given for the accuracy of the results and thinkstep-anz cannot be held liable for any use of the results by you or anyone else.
</t>
    </r>
    <r>
      <rPr>
        <b/>
        <i/>
        <sz val="11"/>
        <color theme="0"/>
        <rFont val="Work Sans"/>
      </rPr>
      <t xml:space="preserve">This version of the tool contains a prototype '% Circular' calculation developed by thinkstep-anz - this version or the logic behind it must not be shared and should be treated as confidential. </t>
    </r>
  </si>
  <si>
    <t>Utility Function</t>
  </si>
  <si>
    <t>TOTAL</t>
  </si>
  <si>
    <t>U(av)</t>
  </si>
  <si>
    <t>Mass Each</t>
  </si>
  <si>
    <t>%MCI</t>
  </si>
  <si>
    <t>Instructions for use</t>
  </si>
  <si>
    <t xml:space="preserve">The MCI tool comprises one main tab and two results tabs </t>
  </si>
  <si>
    <t xml:space="preserve"> </t>
  </si>
  <si>
    <t>Your options are for utility to be based on:</t>
  </si>
  <si>
    <t>You will see the calculated utility function in the cell to the right - A higher value is better.</t>
  </si>
  <si>
    <t>Your options include:</t>
  </si>
  <si>
    <t>Otherwise you should indicate what proportion of the product will be recovered for the specified route - e.g. reuse</t>
  </si>
  <si>
    <t>For each component you see the calculated circularity to the right, this is reported in two formats.</t>
  </si>
  <si>
    <t>This space is provided for you to capture any assumptions you have made in your calculations.</t>
  </si>
  <si>
    <t>These figures reflect the mass of the component that can be considered circular given the overall mass and the percentage circularity</t>
  </si>
  <si>
    <t>The figures are represented graphically in the Mass Analysis tab.</t>
  </si>
  <si>
    <t>The figures are useful in highlighting components that may have a disproportionate impact on the overall circularity assessment.</t>
  </si>
  <si>
    <t>For example, if one component represents 90% of the overall mass but has a low circularity, this will be more apparent in this figure.</t>
  </si>
  <si>
    <t>Below the main table are two plots for the components you have detailed:</t>
  </si>
  <si>
    <t>Plot 1: % Circularity vs % Embodied CO2</t>
  </si>
  <si>
    <t>Plot 2: % Circularity vs % Material Cost</t>
  </si>
  <si>
    <t>This plot enables you to identify components that you may want to prioritise for enhanced circularity due to their relative environmental footprint.</t>
  </si>
  <si>
    <t>This plot enables you to identify components that you may want to prioritise for enhanced circularity due to their relative material cost.</t>
  </si>
  <si>
    <t>MCI Calculator Tab (from left to right):</t>
  </si>
  <si>
    <t>All of these figures can be replaced with your own data by editing the clear cell next to it.</t>
  </si>
  <si>
    <t>Description:</t>
  </si>
  <si>
    <t>Product:</t>
  </si>
  <si>
    <t>Version:</t>
  </si>
  <si>
    <t>1. Product name, description and version number</t>
  </si>
  <si>
    <t>We recommend completing the details at the top of this tab to help you keep track of different calculations you may make.</t>
  </si>
  <si>
    <t>2. Complete this tab by adding your bill of materials including the quantity and mass of each component</t>
  </si>
  <si>
    <t>3. Select the material type for each component from the drop-down menu beside each component.</t>
  </si>
  <si>
    <t>4. Select the source of your material for each component</t>
  </si>
  <si>
    <t>6. If your product is lighter than normal, lasts longer than normal or will be used more heavily, you can include a utility factor in your calculation.</t>
  </si>
  <si>
    <t>7. Indicate the collection efficiency for each component</t>
  </si>
  <si>
    <t>8. Include what happens to each component at the end of use.</t>
  </si>
  <si>
    <t>9. Circularity Results</t>
  </si>
  <si>
    <t>10. Breakdown of circularity</t>
  </si>
  <si>
    <t>11. Notes</t>
  </si>
  <si>
    <t>12. Circular and Linear Mass</t>
  </si>
  <si>
    <t>13. Hot-spot graphs</t>
  </si>
  <si>
    <t>14. Reference data for materials</t>
  </si>
  <si>
    <r>
      <rPr>
        <b/>
        <sz val="11"/>
        <color rgb="FF2B2869"/>
        <rFont val="Work Sans"/>
      </rPr>
      <t>Reuse</t>
    </r>
    <r>
      <rPr>
        <sz val="11"/>
        <color rgb="FF2B2869"/>
        <rFont val="Work Sans"/>
      </rPr>
      <t xml:space="preserve"> - The collected components are reused directly without any new material being required.</t>
    </r>
  </si>
  <si>
    <r>
      <rPr>
        <b/>
        <sz val="11"/>
        <color rgb="FF2B2869"/>
        <rFont val="Work Sans"/>
      </rPr>
      <t>Reman</t>
    </r>
    <r>
      <rPr>
        <sz val="11"/>
        <color rgb="FF2B2869"/>
        <rFont val="Work Sans"/>
      </rPr>
      <t xml:space="preserve"> - The collected components are remanufactured and 5% virgin material is added to return the component to a useable condition.</t>
    </r>
  </si>
  <si>
    <r>
      <rPr>
        <b/>
        <sz val="11"/>
        <color rgb="FF2B2869"/>
        <rFont val="Work Sans"/>
      </rPr>
      <t>Lifetime</t>
    </r>
    <r>
      <rPr>
        <sz val="11"/>
        <color rgb="FF2B2869"/>
        <rFont val="Work Sans"/>
      </rPr>
      <t xml:space="preserve"> - Indicate the lifetime of the component (L) versus the industry average or typical lifetime (Lav)</t>
    </r>
  </si>
  <si>
    <r>
      <rPr>
        <b/>
        <sz val="11"/>
        <color rgb="FF2B2869"/>
        <rFont val="Work Sans"/>
      </rPr>
      <t>Mass</t>
    </r>
    <r>
      <rPr>
        <sz val="11"/>
        <color rgb="FF2B2869"/>
        <rFont val="Work Sans"/>
      </rPr>
      <t xml:space="preserve"> - Indicate how heavy your component is (M) versus the weight of a typical component of the same type (Mav)</t>
    </r>
  </si>
  <si>
    <r>
      <rPr>
        <b/>
        <sz val="11"/>
        <color rgb="FF2B2869"/>
        <rFont val="Work Sans"/>
      </rPr>
      <t>Note:</t>
    </r>
    <r>
      <rPr>
        <sz val="11"/>
        <color rgb="FF2B2869"/>
        <rFont val="Work Sans"/>
      </rPr>
      <t xml:space="preserve"> Mass can be used in combination with either Lifetime or Utility.</t>
    </r>
  </si>
  <si>
    <t>• Using this tool does not automatically mean your result will comply with ISO 59020, we encourage you to speak to us about third-party verification of your results.</t>
  </si>
  <si>
    <r>
      <rPr>
        <b/>
        <sz val="11"/>
        <color rgb="FF2B2869"/>
        <rFont val="Work Sans"/>
      </rPr>
      <t>Virgin</t>
    </r>
    <r>
      <rPr>
        <sz val="11"/>
        <color rgb="FF2B2869"/>
        <rFont val="Work Sans"/>
      </rPr>
      <t xml:space="preserve"> - means the material is sourced entirely from new material, this is also the default option if nothing is selected.</t>
    </r>
  </si>
  <si>
    <r>
      <rPr>
        <b/>
        <sz val="11"/>
        <color rgb="FF2B2869"/>
        <rFont val="Work Sans"/>
      </rPr>
      <t>Reman</t>
    </r>
    <r>
      <rPr>
        <sz val="11"/>
        <color rgb="FF2B2869"/>
        <rFont val="Work Sans"/>
      </rPr>
      <t xml:space="preserve"> - means the component is remanufactured. This option uses a default value of 5% virgin material.</t>
    </r>
  </si>
  <si>
    <r>
      <rPr>
        <b/>
        <sz val="11"/>
        <color rgb="FF2B2869"/>
        <rFont val="Work Sans"/>
      </rPr>
      <t>Note:</t>
    </r>
    <r>
      <rPr>
        <sz val="11"/>
        <color rgb="FF2B2869"/>
        <rFont val="Work Sans"/>
      </rPr>
      <t xml:space="preserve"> Each of these options can be used for both technical and biological materials.</t>
    </r>
  </si>
  <si>
    <r>
      <rPr>
        <b/>
        <sz val="11"/>
        <color rgb="FF2B2869"/>
        <rFont val="Work Sans"/>
      </rPr>
      <t>Note:</t>
    </r>
    <r>
      <rPr>
        <sz val="11"/>
        <color rgb="FF2B2869"/>
        <rFont val="Work Sans"/>
      </rPr>
      <t xml:space="preserve"> The unit of mass listed at the top is a drop-down menu with the most common units for you to select from. The unit selected doesn't impact the calculation.</t>
    </r>
  </si>
  <si>
    <r>
      <rPr>
        <b/>
        <sz val="11"/>
        <color rgb="FF2B2869"/>
        <rFont val="Work Sans"/>
      </rPr>
      <t>Note:</t>
    </r>
    <r>
      <rPr>
        <sz val="11"/>
        <color rgb="FF2B2869"/>
        <rFont val="Work Sans"/>
      </rPr>
      <t xml:space="preserve"> According to ISO 59004, a regenerative practice is one that improves or restores degraded ecosystems. Not all biological materials are regeneratively sourced and traceability requirements should be considered when claiming regenerative content. If only half of your supply is regeneratively sourced this can be reflected by inserting 50%.</t>
    </r>
  </si>
  <si>
    <t>If the component is recycled after use, this value should be set to 100% because the recycling efficiency includes collection.</t>
  </si>
  <si>
    <t>The calculation assumes that any components that are not collected are lost as waste to landfill.</t>
  </si>
  <si>
    <r>
      <rPr>
        <b/>
        <sz val="11"/>
        <color rgb="FF2B2869"/>
        <rFont val="Work Sans"/>
      </rPr>
      <t>Energy Recovery</t>
    </r>
    <r>
      <rPr>
        <sz val="11"/>
        <color rgb="FF2B2869"/>
        <rFont val="Work Sans"/>
      </rPr>
      <t xml:space="preserve"> - Only available to regeneratively sourced biological materials when all other options have been exhausted (see methodology)</t>
    </r>
  </si>
  <si>
    <r>
      <rPr>
        <b/>
        <sz val="11"/>
        <color rgb="FF2B2869"/>
        <rFont val="Work Sans"/>
      </rPr>
      <t>Landfill</t>
    </r>
    <r>
      <rPr>
        <sz val="11"/>
        <color rgb="FF2B2869"/>
        <rFont val="Work Sans"/>
      </rPr>
      <t xml:space="preserve"> - The component isn't recovered but is sent to landfill, this is also the default option if no option is selected.</t>
    </r>
  </si>
  <si>
    <t>To provide additional insights, the table to the right of your circularity results indicates the factors that contribute most to your circularity.</t>
  </si>
  <si>
    <r>
      <rPr>
        <b/>
        <sz val="11"/>
        <color rgb="FF2B2869"/>
        <rFont val="Work Sans"/>
      </rPr>
      <t>Raw Material Decoupling</t>
    </r>
    <r>
      <rPr>
        <sz val="11"/>
        <color rgb="FF2B2869"/>
        <rFont val="Work Sans"/>
      </rPr>
      <t xml:space="preserve"> - The contribution to circularity that comes from avoiding non-renewable material inputs to the component.</t>
    </r>
  </si>
  <si>
    <r>
      <rPr>
        <b/>
        <sz val="11"/>
        <color rgb="FF2B2869"/>
        <rFont val="Work Sans"/>
      </rPr>
      <t>Waste Decoupling</t>
    </r>
    <r>
      <rPr>
        <sz val="11"/>
        <color rgb="FF2B2869"/>
        <rFont val="Work Sans"/>
      </rPr>
      <t xml:space="preserve"> - The contribution to the circularity that comes from waste avoidance.</t>
    </r>
  </si>
  <si>
    <r>
      <rPr>
        <b/>
        <sz val="11"/>
        <color rgb="FF2B2869"/>
        <rFont val="Work Sans"/>
      </rPr>
      <t>Enhanced Utility</t>
    </r>
    <r>
      <rPr>
        <sz val="11"/>
        <color rgb="FF2B2869"/>
        <rFont val="Work Sans"/>
      </rPr>
      <t xml:space="preserve"> - The contribution to the circularity that comes from making the product lighter, last longer or using it more intensively.</t>
    </r>
  </si>
  <si>
    <r>
      <rPr>
        <b/>
        <sz val="11"/>
        <color rgb="FF2B2869"/>
        <rFont val="Work Sans"/>
      </rPr>
      <t>Circularity Gap</t>
    </r>
    <r>
      <rPr>
        <sz val="11"/>
        <color rgb="FF2B2869"/>
        <rFont val="Work Sans"/>
      </rPr>
      <t xml:space="preserve"> - The remaining deficit between your circularity result and a fully circular system.</t>
    </r>
  </si>
  <si>
    <r>
      <rPr>
        <b/>
        <sz val="11"/>
        <color rgb="FF2B2869"/>
        <rFont val="Work Sans"/>
      </rPr>
      <t>Note:</t>
    </r>
    <r>
      <rPr>
        <sz val="11"/>
        <color rgb="FF2B2869"/>
        <rFont val="Work Sans"/>
      </rPr>
      <t xml:space="preserve"> The four categories above are represented graphically for each component in the "Decoupling" tab.</t>
    </r>
  </si>
  <si>
    <t>Water</t>
  </si>
  <si>
    <t>NOTE: The CO2 and Cost figures are not converted based on the units the user selects</t>
  </si>
  <si>
    <t>This is because the tool reports the figure as a percentage of the total, which is the same irrespective of the</t>
  </si>
  <si>
    <t>unit system they select.</t>
  </si>
  <si>
    <t>A percentage was chosen because it avoids the need to reformat the plot - it will always be between 0-100%</t>
  </si>
  <si>
    <t>Tool Version:</t>
  </si>
  <si>
    <r>
      <rPr>
        <b/>
        <sz val="11"/>
        <color rgb="FF2B2869"/>
        <rFont val="Work Sans"/>
      </rPr>
      <t>Note:</t>
    </r>
    <r>
      <rPr>
        <sz val="11"/>
        <color rgb="FF2B2869"/>
        <rFont val="Work Sans"/>
      </rPr>
      <t xml:space="preserve"> Your selection of material links the component to the table below, which contains typical recycled content, recycling rate, embodied CO</t>
    </r>
    <r>
      <rPr>
        <vertAlign val="subscript"/>
        <sz val="11"/>
        <color rgb="FF2B2869"/>
        <rFont val="Work Sans"/>
      </rPr>
      <t>2</t>
    </r>
    <r>
      <rPr>
        <sz val="11"/>
        <color rgb="FF2B2869"/>
        <rFont val="Work Sans"/>
      </rPr>
      <t xml:space="preserve"> and material cost. You can overwrite these default values by inserting your own values in this table.</t>
    </r>
  </si>
  <si>
    <r>
      <rPr>
        <b/>
        <sz val="11"/>
        <color rgb="FF2B2869"/>
        <rFont val="Work Sans"/>
      </rPr>
      <t>Reuse</t>
    </r>
    <r>
      <rPr>
        <sz val="11"/>
        <color rgb="FF2B2869"/>
        <rFont val="Work Sans"/>
      </rPr>
      <t xml:space="preserve"> - means the component is a pre-existing used component and requires no virgin material.</t>
    </r>
  </si>
  <si>
    <t>5. If your chosen material type is biological, you can also add what proportion of your supply is from a verified regenerative source (e.g. FSC).</t>
  </si>
  <si>
    <r>
      <rPr>
        <b/>
        <sz val="11"/>
        <color rgb="FF2B2869"/>
        <rFont val="Work Sans"/>
      </rPr>
      <t>Utility</t>
    </r>
    <r>
      <rPr>
        <sz val="11"/>
        <color rgb="FF2B2869"/>
        <rFont val="Work Sans"/>
      </rPr>
      <t xml:space="preserve"> - Indicate how many functional units your component delivers over its life (U) versus the industry average (Uav)</t>
    </r>
  </si>
  <si>
    <r>
      <rPr>
        <b/>
        <sz val="11"/>
        <color rgb="FF2B2869"/>
        <rFont val="Work Sans"/>
      </rPr>
      <t>Note:</t>
    </r>
    <r>
      <rPr>
        <sz val="11"/>
        <color rgb="FF2B2869"/>
        <rFont val="Work Sans"/>
      </rPr>
      <t xml:space="preserve"> Lifetime and Utility cannot be used together due to the risk of double counting.</t>
    </r>
  </si>
  <si>
    <t>For example, if 100 products are put on the market and only 80 of them are collected from the user for reuse, this value should be 80%.</t>
  </si>
  <si>
    <r>
      <rPr>
        <b/>
        <sz val="11"/>
        <color rgb="FF2B2869"/>
        <rFont val="Work Sans"/>
      </rPr>
      <t>Recycle</t>
    </r>
    <r>
      <rPr>
        <sz val="11"/>
        <color rgb="FF2B2869"/>
        <rFont val="Work Sans"/>
      </rPr>
      <t xml:space="preserve"> - The component is recycled, the recycling efficiency in the table below will be applied (default or user defined).</t>
    </r>
  </si>
  <si>
    <r>
      <rPr>
        <b/>
        <sz val="11"/>
        <color rgb="FF2B2869"/>
        <rFont val="Work Sans"/>
      </rPr>
      <t>Recycle</t>
    </r>
    <r>
      <rPr>
        <sz val="11"/>
        <color rgb="FF2B2869"/>
        <rFont val="Work Sans"/>
      </rPr>
      <t xml:space="preserve"> - means the material is from a recycled source (the recycled content is determined by the table below)</t>
    </r>
  </si>
  <si>
    <r>
      <rPr>
        <b/>
        <sz val="11"/>
        <color rgb="FF2B2869"/>
        <rFont val="Work Sans"/>
      </rPr>
      <t>Compost</t>
    </r>
    <r>
      <rPr>
        <sz val="11"/>
        <color rgb="FF2B2869"/>
        <rFont val="Work Sans"/>
      </rPr>
      <t xml:space="preserve"> - The component is returned to the biological cycle as nutrients for future growth (free from harmful contaminants).</t>
    </r>
  </si>
  <si>
    <r>
      <rPr>
        <b/>
        <sz val="11"/>
        <color rgb="FF2B2869"/>
        <rFont val="Work Sans"/>
      </rPr>
      <t>Note:</t>
    </r>
    <r>
      <rPr>
        <sz val="11"/>
        <color rgb="FF2B2869"/>
        <rFont val="Work Sans"/>
      </rPr>
      <t xml:space="preserve"> If Compost or Energy Recovery is selected for a non-biological material, the tool will default to Landfill in its calculation.</t>
    </r>
  </si>
  <si>
    <t>At the bottom of the table you will also see the overall circularity for the product as a function of all of its components.</t>
  </si>
  <si>
    <r>
      <rPr>
        <b/>
        <sz val="11"/>
        <color rgb="FF2B2869"/>
        <rFont val="Work Sans"/>
      </rPr>
      <t>MCI</t>
    </r>
    <r>
      <rPr>
        <sz val="11"/>
        <color rgb="FF2B2869"/>
        <rFont val="Work Sans"/>
      </rPr>
      <t xml:space="preserve"> - The MCI as a value between 0 and 1, as per 2015 and 2019 methodologies (a linear result is between 0 and 0.1).</t>
    </r>
  </si>
  <si>
    <r>
      <rPr>
        <b/>
        <sz val="11"/>
        <color rgb="FF2B2869"/>
        <rFont val="Work Sans"/>
      </rPr>
      <t>%MCI</t>
    </r>
    <r>
      <rPr>
        <sz val="11"/>
        <color rgb="FF2B2869"/>
        <rFont val="Work Sans"/>
      </rPr>
      <t xml:space="preserve"> - as per the 2024 addendum to the methodology (linear is 0%, fully circular is 100%).</t>
    </r>
  </si>
  <si>
    <t>Tool version:</t>
  </si>
  <si>
    <t>Tool date:</t>
  </si>
  <si>
    <t>Tool copyright:</t>
  </si>
  <si>
    <t>Circular Building Design</t>
  </si>
  <si>
    <t>V1</t>
  </si>
  <si>
    <t>Product Total</t>
  </si>
  <si>
    <t>V1.0</t>
  </si>
  <si>
    <t>• This Free Material Circularity Indicator (MCI) tool is intended to get you started in evaluating the circularity of your products and product designs - it is not intended for commercial use or consulting services.</t>
  </si>
  <si>
    <t>• The calculator follows the methodology set out by the Ellen MacArthur Foundation in their 2019 methodology, and includes the 2024 addendum that enables MCI to be calculated as a percentage.</t>
  </si>
  <si>
    <t xml:space="preserve">• The data set provided with this tool is an approximation. While the data is helpful for initial screening and early-stage design, we encourage you to speak to us about sourcing data that is appropriate to your business, supply chain, and markets. </t>
  </si>
  <si>
    <t>engage@thinkstep-anz.com</t>
  </si>
  <si>
    <t>Additional help and guidance is available on our website: www.thinkstep-anz.com</t>
  </si>
  <si>
    <t xml:space="preserve">If you require greater flexibility in this tool, its inputs and assumptions or wish to conduct a more comprehensive analysis, including at a business level please contact us: </t>
  </si>
  <si>
    <t>• The MCI methodology is a reliable tool that conforms to the requirements of a circularity metric as defined by ISO 59020. It includes all of the mandatory core indicators and one of the optional core indicators specified in this standard.</t>
  </si>
  <si>
    <t>Intended use and restrictions</t>
  </si>
  <si>
    <r>
      <t>&lt;&lt; NOTE: The data for recycled content, recycling efficiency, embodied CO</t>
    </r>
    <r>
      <rPr>
        <b/>
        <vertAlign val="subscript"/>
        <sz val="11"/>
        <color rgb="FF2B2869"/>
        <rFont val="Work Sans"/>
      </rPr>
      <t>2</t>
    </r>
    <r>
      <rPr>
        <b/>
        <sz val="11"/>
        <color rgb="FF2B2869"/>
        <rFont val="Work Sans"/>
      </rPr>
      <t xml:space="preserve"> and Material cost are all global approximations and should not be relied upon. The data has been provided as a starting point only.
This data is known to vary by region, by application, by specific material grade and by supplier.
Contact us if you would like to source more reliable data: engage@thinkstep-anz.com </t>
    </r>
  </si>
  <si>
    <t>At the bottom of the sheet, we have tabulated the approximate global recycled contents, recycling efficiencies, indicative embodied CO2, and cost for each of the materials available in the tool.</t>
  </si>
  <si>
    <t>Recycled contents, embodied CO2 and costs will vary depending on your supply chain, and recycling efficiencies will vary depending on regional infrastructure - we would not recommend relying on the default values.</t>
  </si>
  <si>
    <t>Resource Inflows</t>
  </si>
  <si>
    <t>Resource Outflows</t>
  </si>
  <si>
    <t>PCB Assembly</t>
  </si>
  <si>
    <t>FSC certified floor and roof beams
Recycled and reusable structural columns
Extended service life for concrete foundation</t>
  </si>
  <si>
    <t>ET, JV</t>
  </si>
  <si>
    <t>Free to use with Attribution (No commercial or consulting use)</t>
  </si>
  <si>
    <t xml:space="preserve">This calculator is provided free of charge but may not be used without attribution.
The calculator may not be used commercially or for the provision of consulting services without the written authorisation of thinkstep-anz.
This tool has been prepared by thinkstep-anz with all reasonable skill and diligence. thinkstep-anz does not accept responsibility of any kind to any third parties who make use of its contents or results. Any such party relies on the tool at its own risk. Interpretations, analyses, or statements of any kind made by a third party and based on this tool or the data it contains are beyond thinkstep-anz’s responsibility.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</si>
</sst>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_(* #,##0.00_);_(* \(#,##0.00\);_(* &quot;-&quot;??_);_(@_)"/>
    <numFmt numFmtId="165" formatCode="0.0"/>
    <numFmt numFmtId="166" formatCode="&quot;£&quot;#,##0.00"/>
    <numFmt numFmtId="167" formatCode="_(* #,##0_);_(* \(#,##0\);_(* &quot;-&quot;??_);_(@_)"/>
    <numFmt numFmtId="168" formatCode="&quot;£&quot;#,##0"/>
    <numFmt numFmtId="169" formatCode="_([$$-409]* #,##0_);_([$$-409]* \(#,##0\);_([$$-409]* &quot;-&quot;??_);_(@_)"/>
    <numFmt numFmtId="170" formatCode="0.0%"/>
    <numFmt numFmtId="171" formatCode="_(* #,##0.0_);_(* \(#,##0.0\);_(* &quot;-&quot;??_);_(@_)"/>
    <numFmt numFmtId="172" formatCode="_-&quot;$&quot;* #,##0.0000_-;\-&quot;$&quot;* #,##0.0000_-;_-&quot;$&quot;* &quot;-&quot;??_-;_-@_-"/>
    <numFmt numFmtId="173" formatCode="0.0000"/>
  </numFmts>
  <fonts count="37"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9"/>
      <color indexed="81"/>
      <name val="Tahoma"/>
      <family val="2"/>
    </font>
    <font>
      <b/>
      <sz val="9"/>
      <color indexed="81"/>
      <name val="Tahoma"/>
      <family val="2"/>
    </font>
    <font>
      <sz val="10"/>
      <color rgb="FF000000"/>
      <name val="Work Sans"/>
    </font>
    <font>
      <b/>
      <sz val="14"/>
      <color rgb="FF000000"/>
      <name val="Work Sans"/>
    </font>
    <font>
      <b/>
      <sz val="10"/>
      <color rgb="FF000000"/>
      <name val="Work Sans"/>
    </font>
    <font>
      <u/>
      <sz val="10"/>
      <color rgb="FF9661FF"/>
      <name val="Work Sans"/>
    </font>
    <font>
      <b/>
      <sz val="10"/>
      <color rgb="FFFFFFFF"/>
      <name val="Work Sans"/>
    </font>
    <font>
      <b/>
      <sz val="10"/>
      <color rgb="FF2B2869"/>
      <name val="Work Sans"/>
    </font>
    <font>
      <sz val="10"/>
      <color rgb="FF2B2869"/>
      <name val="Work Sans"/>
    </font>
    <font>
      <sz val="10"/>
      <color theme="1"/>
      <name val="Work Sans"/>
    </font>
    <font>
      <i/>
      <sz val="11"/>
      <color theme="0"/>
      <name val="Work Sans"/>
    </font>
    <font>
      <b/>
      <i/>
      <sz val="11"/>
      <color theme="0"/>
      <name val="Work Sans"/>
    </font>
    <font>
      <sz val="11"/>
      <color theme="1"/>
      <name val="Work Sans"/>
    </font>
    <font>
      <b/>
      <sz val="11"/>
      <color theme="1"/>
      <name val="Work Sans"/>
    </font>
    <font>
      <u/>
      <sz val="11"/>
      <color theme="10"/>
      <name val="Work Sans"/>
    </font>
    <font>
      <sz val="11"/>
      <color theme="0"/>
      <name val="Work Sans"/>
    </font>
    <font>
      <b/>
      <sz val="11"/>
      <color theme="0"/>
      <name val="Work Sans"/>
    </font>
    <font>
      <sz val="11"/>
      <color rgb="FF2B2869"/>
      <name val="Work Sans"/>
    </font>
    <font>
      <b/>
      <sz val="11"/>
      <color rgb="FF2B2869"/>
      <name val="Work Sans"/>
    </font>
    <font>
      <u/>
      <sz val="11"/>
      <color rgb="FF2B2869"/>
      <name val="Work Sans"/>
    </font>
    <font>
      <sz val="11"/>
      <color rgb="FF2B2869"/>
      <name val="Calibri"/>
      <family val="2"/>
      <scheme val="minor"/>
    </font>
    <font>
      <b/>
      <sz val="11"/>
      <color rgb="FF2B2869"/>
      <name val="Calibri"/>
      <family val="2"/>
      <scheme val="minor"/>
    </font>
    <font>
      <b/>
      <sz val="12"/>
      <color rgb="FF2B2869"/>
      <name val="Calibri"/>
      <family val="2"/>
      <scheme val="minor"/>
    </font>
    <font>
      <b/>
      <i/>
      <sz val="11"/>
      <color rgb="FF2B2869"/>
      <name val="Work Sans"/>
    </font>
    <font>
      <b/>
      <sz val="12"/>
      <color rgb="FF2B2869"/>
      <name val="Work Sans"/>
    </font>
    <font>
      <b/>
      <sz val="14"/>
      <color rgb="FF2B2869"/>
      <name val="Work Sans"/>
    </font>
    <font>
      <b/>
      <sz val="20"/>
      <color rgb="FF2B2869"/>
      <name val="Work Sans"/>
    </font>
    <font>
      <vertAlign val="subscript"/>
      <sz val="11"/>
      <color rgb="FF2B2869"/>
      <name val="Work Sans"/>
    </font>
    <font>
      <i/>
      <sz val="11"/>
      <color theme="1"/>
      <name val="Work Sans"/>
    </font>
    <font>
      <i/>
      <sz val="11"/>
      <color rgb="FF2B2869"/>
      <name val="Work Sans"/>
    </font>
    <font>
      <b/>
      <i/>
      <sz val="11"/>
      <color theme="10"/>
      <name val="Work Sans"/>
    </font>
    <font>
      <b/>
      <i/>
      <sz val="11"/>
      <color theme="1"/>
      <name val="Work Sans"/>
    </font>
    <font>
      <b/>
      <vertAlign val="subscript"/>
      <sz val="11"/>
      <color rgb="FF2B2869"/>
      <name val="Work Sans"/>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2B2869"/>
        <bgColor rgb="FF000000"/>
      </patternFill>
    </fill>
    <fill>
      <patternFill patternType="solid">
        <fgColor rgb="FF2B2869"/>
        <bgColor indexed="64"/>
      </patternFill>
    </fill>
    <fill>
      <patternFill patternType="solid">
        <fgColor rgb="FFDECDFF"/>
        <bgColor indexed="64"/>
      </patternFill>
    </fill>
    <fill>
      <patternFill patternType="solid">
        <fgColor rgb="FFBD9CFF"/>
        <bgColor indexed="64"/>
      </patternFill>
    </fill>
  </fills>
  <borders count="1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top/>
      <bottom style="thin">
        <color rgb="FFBD9CFF"/>
      </bottom>
      <diagonal/>
    </border>
    <border>
      <left/>
      <right/>
      <top style="thin">
        <color rgb="FFBD9CFF"/>
      </top>
      <bottom style="thin">
        <color rgb="FFBD9CFF"/>
      </bottom>
      <diagonal/>
    </border>
    <border>
      <left style="thin">
        <color rgb="FF2B2869"/>
      </left>
      <right style="thin">
        <color rgb="FF2B2869"/>
      </right>
      <top style="thin">
        <color rgb="FF2B2869"/>
      </top>
      <bottom style="thin">
        <color rgb="FF2B2869"/>
      </bottom>
      <diagonal/>
    </border>
    <border>
      <left style="medium">
        <color rgb="FF2B2869"/>
      </left>
      <right style="medium">
        <color rgb="FF2B2869"/>
      </right>
      <top style="medium">
        <color rgb="FF2B2869"/>
      </top>
      <bottom style="medium">
        <color rgb="FF2B2869"/>
      </bottom>
      <diagonal/>
    </border>
    <border>
      <left style="medium">
        <color rgb="FF2B2869"/>
      </left>
      <right/>
      <top style="medium">
        <color rgb="FF2B2869"/>
      </top>
      <bottom/>
      <diagonal/>
    </border>
    <border>
      <left/>
      <right/>
      <top style="medium">
        <color rgb="FF2B2869"/>
      </top>
      <bottom/>
      <diagonal/>
    </border>
    <border>
      <left/>
      <right style="medium">
        <color rgb="FF2B2869"/>
      </right>
      <top style="medium">
        <color rgb="FF2B2869"/>
      </top>
      <bottom/>
      <diagonal/>
    </border>
    <border>
      <left style="medium">
        <color rgb="FF2B2869"/>
      </left>
      <right/>
      <top/>
      <bottom/>
      <diagonal/>
    </border>
    <border>
      <left/>
      <right style="medium">
        <color rgb="FF2B2869"/>
      </right>
      <top/>
      <bottom/>
      <diagonal/>
    </border>
    <border>
      <left style="medium">
        <color rgb="FF2B2869"/>
      </left>
      <right style="medium">
        <color rgb="FF2B2869"/>
      </right>
      <top style="medium">
        <color rgb="FF2B2869"/>
      </top>
      <bottom style="thin">
        <color rgb="FF2B2869"/>
      </bottom>
      <diagonal/>
    </border>
    <border>
      <left style="medium">
        <color rgb="FF2B2869"/>
      </left>
      <right style="medium">
        <color rgb="FF2B2869"/>
      </right>
      <top style="thin">
        <color rgb="FF2B2869"/>
      </top>
      <bottom style="thin">
        <color rgb="FF2B2869"/>
      </bottom>
      <diagonal/>
    </border>
    <border>
      <left style="medium">
        <color rgb="FF2B2869"/>
      </left>
      <right style="medium">
        <color rgb="FF2B2869"/>
      </right>
      <top style="thin">
        <color rgb="FF2B2869"/>
      </top>
      <bottom style="medium">
        <color rgb="FF2B2869"/>
      </bottom>
      <diagonal/>
    </border>
    <border>
      <left style="medium">
        <color rgb="FF2B2869"/>
      </left>
      <right/>
      <top style="medium">
        <color rgb="FF2B2869"/>
      </top>
      <bottom style="thin">
        <color rgb="FF2B2869"/>
      </bottom>
      <diagonal/>
    </border>
    <border>
      <left style="medium">
        <color rgb="FF2B2869"/>
      </left>
      <right/>
      <top style="thin">
        <color rgb="FF2B2869"/>
      </top>
      <bottom style="thin">
        <color rgb="FF2B2869"/>
      </bottom>
      <diagonal/>
    </border>
    <border>
      <left style="medium">
        <color rgb="FF2B2869"/>
      </left>
      <right/>
      <top style="thin">
        <color rgb="FF2B2869"/>
      </top>
      <bottom style="medium">
        <color rgb="FF2B2869"/>
      </bottom>
      <diagonal/>
    </border>
    <border>
      <left style="medium">
        <color rgb="FF2B2869"/>
      </left>
      <right style="thin">
        <color rgb="FF2B2869"/>
      </right>
      <top style="medium">
        <color rgb="FF2B2869"/>
      </top>
      <bottom style="thin">
        <color rgb="FF2B2869"/>
      </bottom>
      <diagonal/>
    </border>
    <border>
      <left style="thin">
        <color rgb="FF2B2869"/>
      </left>
      <right style="medium">
        <color rgb="FF2B2869"/>
      </right>
      <top style="medium">
        <color rgb="FF2B2869"/>
      </top>
      <bottom style="thin">
        <color rgb="FF2B2869"/>
      </bottom>
      <diagonal/>
    </border>
    <border>
      <left style="medium">
        <color rgb="FF2B2869"/>
      </left>
      <right style="thin">
        <color rgb="FF2B2869"/>
      </right>
      <top style="thin">
        <color rgb="FF2B2869"/>
      </top>
      <bottom style="thin">
        <color rgb="FF2B2869"/>
      </bottom>
      <diagonal/>
    </border>
    <border>
      <left style="thin">
        <color rgb="FF2B2869"/>
      </left>
      <right style="medium">
        <color rgb="FF2B2869"/>
      </right>
      <top style="thin">
        <color rgb="FF2B2869"/>
      </top>
      <bottom style="thin">
        <color rgb="FF2B2869"/>
      </bottom>
      <diagonal/>
    </border>
    <border>
      <left style="medium">
        <color rgb="FF2B2869"/>
      </left>
      <right style="thin">
        <color rgb="FF2B2869"/>
      </right>
      <top style="thin">
        <color rgb="FF2B2869"/>
      </top>
      <bottom style="medium">
        <color rgb="FF2B2869"/>
      </bottom>
      <diagonal/>
    </border>
    <border>
      <left style="thin">
        <color rgb="FF2B2869"/>
      </left>
      <right style="medium">
        <color rgb="FF2B2869"/>
      </right>
      <top style="thin">
        <color rgb="FF2B2869"/>
      </top>
      <bottom style="medium">
        <color rgb="FF2B2869"/>
      </bottom>
      <diagonal/>
    </border>
    <border>
      <left style="thin">
        <color rgb="FF2B2869"/>
      </left>
      <right style="thin">
        <color rgb="FF2B2869"/>
      </right>
      <top style="medium">
        <color rgb="FF2B2869"/>
      </top>
      <bottom style="thin">
        <color rgb="FF2B2869"/>
      </bottom>
      <diagonal/>
    </border>
    <border>
      <left style="thin">
        <color rgb="FF2B2869"/>
      </left>
      <right style="thin">
        <color rgb="FF2B2869"/>
      </right>
      <top style="thin">
        <color rgb="FF2B2869"/>
      </top>
      <bottom style="medium">
        <color rgb="FF2B2869"/>
      </bottom>
      <diagonal/>
    </border>
    <border>
      <left style="medium">
        <color rgb="FF2B2869"/>
      </left>
      <right style="medium">
        <color rgb="FF2B2869"/>
      </right>
      <top style="medium">
        <color rgb="FF2B2869"/>
      </top>
      <bottom/>
      <diagonal/>
    </border>
    <border>
      <left style="medium">
        <color rgb="FF2B2869"/>
      </left>
      <right style="medium">
        <color rgb="FF2B2869"/>
      </right>
      <top/>
      <bottom/>
      <diagonal/>
    </border>
    <border>
      <left/>
      <right style="thin">
        <color indexed="64"/>
      </right>
      <top style="thin">
        <color indexed="64"/>
      </top>
      <bottom/>
      <diagonal/>
    </border>
    <border>
      <left style="thin">
        <color rgb="FF2B2869"/>
      </left>
      <right/>
      <top style="medium">
        <color rgb="FF2B2869"/>
      </top>
      <bottom style="thin">
        <color rgb="FF2B2869"/>
      </bottom>
      <diagonal/>
    </border>
    <border>
      <left style="thin">
        <color rgb="FF2B2869"/>
      </left>
      <right/>
      <top style="thin">
        <color rgb="FF2B2869"/>
      </top>
      <bottom style="thin">
        <color rgb="FF2B2869"/>
      </bottom>
      <diagonal/>
    </border>
    <border>
      <left style="thin">
        <color rgb="FF2B2869"/>
      </left>
      <right/>
      <top style="thin">
        <color rgb="FF2B2869"/>
      </top>
      <bottom style="medium">
        <color rgb="FF2B2869"/>
      </bottom>
      <diagonal/>
    </border>
    <border>
      <left style="medium">
        <color rgb="FF2B2869"/>
      </left>
      <right style="thin">
        <color rgb="FF2B2869"/>
      </right>
      <top/>
      <bottom style="thin">
        <color rgb="FF2B2869"/>
      </bottom>
      <diagonal/>
    </border>
    <border>
      <left style="thin">
        <color rgb="FF2B2869"/>
      </left>
      <right style="thin">
        <color rgb="FF2B2869"/>
      </right>
      <top/>
      <bottom style="thin">
        <color rgb="FF2B2869"/>
      </bottom>
      <diagonal/>
    </border>
    <border>
      <left style="thin">
        <color rgb="FF2B2869"/>
      </left>
      <right/>
      <top/>
      <bottom style="thin">
        <color rgb="FF2B2869"/>
      </bottom>
      <diagonal/>
    </border>
    <border>
      <left style="medium">
        <color rgb="FF2B2869"/>
      </left>
      <right/>
      <top/>
      <bottom style="medium">
        <color rgb="FF2B2869"/>
      </bottom>
      <diagonal/>
    </border>
    <border>
      <left/>
      <right/>
      <top/>
      <bottom style="medium">
        <color rgb="FF2B2869"/>
      </bottom>
      <diagonal/>
    </border>
    <border>
      <left/>
      <right style="medium">
        <color rgb="FF2B2869"/>
      </right>
      <top/>
      <bottom style="medium">
        <color rgb="FF2B2869"/>
      </bottom>
      <diagonal/>
    </border>
    <border>
      <left style="thin">
        <color rgb="FF2B2869"/>
      </left>
      <right/>
      <top/>
      <bottom/>
      <diagonal/>
    </border>
    <border>
      <left/>
      <right style="thin">
        <color rgb="FF2B2869"/>
      </right>
      <top/>
      <bottom/>
      <diagonal/>
    </border>
    <border>
      <left style="medium">
        <color rgb="FF2B2869"/>
      </left>
      <right/>
      <top/>
      <bottom style="thin">
        <color rgb="FF2B2869"/>
      </bottom>
      <diagonal/>
    </border>
    <border>
      <left style="medium">
        <color rgb="FF2B2869"/>
      </left>
      <right style="thin">
        <color rgb="FF2B2869"/>
      </right>
      <top style="medium">
        <color rgb="FF2B2869"/>
      </top>
      <bottom/>
      <diagonal/>
    </border>
    <border>
      <left style="thin">
        <color rgb="FF2B2869"/>
      </left>
      <right/>
      <top style="medium">
        <color rgb="FF2B2869"/>
      </top>
      <bottom/>
      <diagonal/>
    </border>
    <border>
      <left/>
      <right style="thin">
        <color rgb="FF2B2869"/>
      </right>
      <top style="medium">
        <color rgb="FF2B2869"/>
      </top>
      <bottom/>
      <diagonal/>
    </border>
    <border>
      <left style="thin">
        <color rgb="FF2B2869"/>
      </left>
      <right style="medium">
        <color rgb="FF2B2869"/>
      </right>
      <top style="medium">
        <color rgb="FF2B2869"/>
      </top>
      <bottom/>
      <diagonal/>
    </border>
    <border>
      <left style="medium">
        <color rgb="FF2B2869"/>
      </left>
      <right style="thin">
        <color rgb="FF2B2869"/>
      </right>
      <top/>
      <bottom/>
      <diagonal/>
    </border>
    <border>
      <left style="thin">
        <color rgb="FF2B2869"/>
      </left>
      <right style="medium">
        <color rgb="FF2B2869"/>
      </right>
      <top/>
      <bottom/>
      <diagonal/>
    </border>
    <border>
      <left style="medium">
        <color rgb="FF2B2869"/>
      </left>
      <right style="thin">
        <color rgb="FF2B2869"/>
      </right>
      <top/>
      <bottom style="medium">
        <color rgb="FF2B2869"/>
      </bottom>
      <diagonal/>
    </border>
    <border>
      <left style="thin">
        <color rgb="FF2B2869"/>
      </left>
      <right/>
      <top/>
      <bottom style="medium">
        <color rgb="FF2B2869"/>
      </bottom>
      <diagonal/>
    </border>
    <border>
      <left/>
      <right style="thin">
        <color rgb="FF2B2869"/>
      </right>
      <top/>
      <bottom style="medium">
        <color rgb="FF2B2869"/>
      </bottom>
      <diagonal/>
    </border>
    <border>
      <left style="thin">
        <color rgb="FF2B2869"/>
      </left>
      <right style="medium">
        <color rgb="FF2B2869"/>
      </right>
      <top/>
      <bottom style="medium">
        <color rgb="FF2B2869"/>
      </bottom>
      <diagonal/>
    </border>
    <border>
      <left style="medium">
        <color rgb="FF2B2869"/>
      </left>
      <right style="medium">
        <color rgb="FF2B2869"/>
      </right>
      <top/>
      <bottom style="medium">
        <color rgb="FF2B2869"/>
      </bottom>
      <diagonal/>
    </border>
    <border>
      <left/>
      <right style="thin">
        <color rgb="FF2B2869"/>
      </right>
      <top style="medium">
        <color rgb="FF2B2869"/>
      </top>
      <bottom style="thin">
        <color rgb="FF2B2869"/>
      </bottom>
      <diagonal/>
    </border>
    <border>
      <left/>
      <right style="thin">
        <color rgb="FF2B2869"/>
      </right>
      <top style="thin">
        <color rgb="FF2B2869"/>
      </top>
      <bottom style="thin">
        <color rgb="FF2B2869"/>
      </bottom>
      <diagonal/>
    </border>
    <border>
      <left/>
      <right style="thin">
        <color rgb="FF2B2869"/>
      </right>
      <top style="thin">
        <color rgb="FF2B2869"/>
      </top>
      <bottom style="medium">
        <color rgb="FF2B2869"/>
      </bottom>
      <diagonal/>
    </border>
    <border>
      <left style="medium">
        <color rgb="FF2B2869"/>
      </left>
      <right style="thin">
        <color rgb="FF2B2869"/>
      </right>
      <top style="medium">
        <color rgb="FF2B2869"/>
      </top>
      <bottom style="medium">
        <color rgb="FF2B2869"/>
      </bottom>
      <diagonal/>
    </border>
    <border>
      <left style="thin">
        <color rgb="FF2B2869"/>
      </left>
      <right style="thin">
        <color rgb="FF2B2869"/>
      </right>
      <top style="medium">
        <color rgb="FF2B2869"/>
      </top>
      <bottom style="medium">
        <color rgb="FF2B2869"/>
      </bottom>
      <diagonal/>
    </border>
    <border>
      <left style="thin">
        <color rgb="FF2B2869"/>
      </left>
      <right style="medium">
        <color rgb="FF2B2869"/>
      </right>
      <top style="medium">
        <color rgb="FF2B2869"/>
      </top>
      <bottom style="medium">
        <color rgb="FF2B2869"/>
      </bottom>
      <diagonal/>
    </border>
    <border>
      <left style="medium">
        <color rgb="FF2B2869"/>
      </left>
      <right style="thin">
        <color indexed="64"/>
      </right>
      <top style="medium">
        <color rgb="FF2B2869"/>
      </top>
      <bottom style="thin">
        <color indexed="64"/>
      </bottom>
      <diagonal/>
    </border>
    <border>
      <left style="thin">
        <color indexed="64"/>
      </left>
      <right style="thin">
        <color indexed="64"/>
      </right>
      <top style="medium">
        <color rgb="FF2B2869"/>
      </top>
      <bottom style="thin">
        <color indexed="64"/>
      </bottom>
      <diagonal/>
    </border>
    <border>
      <left style="thin">
        <color indexed="64"/>
      </left>
      <right/>
      <top style="medium">
        <color rgb="FF2B2869"/>
      </top>
      <bottom style="thin">
        <color indexed="64"/>
      </bottom>
      <diagonal/>
    </border>
    <border>
      <left style="thin">
        <color indexed="64"/>
      </left>
      <right style="medium">
        <color rgb="FF2B2869"/>
      </right>
      <top style="medium">
        <color rgb="FF2B2869"/>
      </top>
      <bottom style="thin">
        <color indexed="64"/>
      </bottom>
      <diagonal/>
    </border>
    <border>
      <left style="medium">
        <color rgb="FF2B2869"/>
      </left>
      <right style="thin">
        <color indexed="64"/>
      </right>
      <top style="thin">
        <color indexed="64"/>
      </top>
      <bottom style="thin">
        <color indexed="64"/>
      </bottom>
      <diagonal/>
    </border>
    <border>
      <left style="thin">
        <color indexed="64"/>
      </left>
      <right style="medium">
        <color rgb="FF2B2869"/>
      </right>
      <top/>
      <bottom style="thin">
        <color indexed="64"/>
      </bottom>
      <diagonal/>
    </border>
    <border>
      <left style="medium">
        <color rgb="FF2B2869"/>
      </left>
      <right style="thin">
        <color indexed="64"/>
      </right>
      <top style="thin">
        <color indexed="64"/>
      </top>
      <bottom style="medium">
        <color rgb="FF2B2869"/>
      </bottom>
      <diagonal/>
    </border>
    <border>
      <left style="thin">
        <color indexed="64"/>
      </left>
      <right style="thin">
        <color indexed="64"/>
      </right>
      <top style="thin">
        <color indexed="64"/>
      </top>
      <bottom style="medium">
        <color rgb="FF2B2869"/>
      </bottom>
      <diagonal/>
    </border>
    <border>
      <left style="thin">
        <color indexed="64"/>
      </left>
      <right/>
      <top style="thin">
        <color indexed="64"/>
      </top>
      <bottom style="medium">
        <color rgb="FF2B2869"/>
      </bottom>
      <diagonal/>
    </border>
    <border>
      <left style="thin">
        <color indexed="64"/>
      </left>
      <right style="thin">
        <color indexed="64"/>
      </right>
      <top/>
      <bottom style="medium">
        <color rgb="FF2B2869"/>
      </bottom>
      <diagonal/>
    </border>
    <border>
      <left style="thin">
        <color indexed="64"/>
      </left>
      <right style="medium">
        <color rgb="FF2B2869"/>
      </right>
      <top/>
      <bottom style="medium">
        <color rgb="FF2B2869"/>
      </bottom>
      <diagonal/>
    </border>
    <border>
      <left style="medium">
        <color rgb="FF2B2869"/>
      </left>
      <right style="medium">
        <color rgb="FF2B2869"/>
      </right>
      <top/>
      <bottom style="thin">
        <color rgb="FF2B2869"/>
      </bottom>
      <diagonal/>
    </border>
    <border>
      <left style="medium">
        <color rgb="FF2B2869"/>
      </left>
      <right style="medium">
        <color indexed="64"/>
      </right>
      <top style="medium">
        <color rgb="FF2B2869"/>
      </top>
      <bottom style="medium">
        <color rgb="FF2B2869"/>
      </bottom>
      <diagonal/>
    </border>
    <border>
      <left style="medium">
        <color indexed="64"/>
      </left>
      <right style="medium">
        <color rgb="FF2B2869"/>
      </right>
      <top style="medium">
        <color rgb="FF2B2869"/>
      </top>
      <bottom style="medium">
        <color rgb="FF2B2869"/>
      </bottom>
      <diagonal/>
    </border>
    <border>
      <left style="medium">
        <color rgb="FF2B2869"/>
      </left>
      <right/>
      <top style="medium">
        <color rgb="FF2B2869"/>
      </top>
      <bottom style="thin">
        <color indexed="64"/>
      </bottom>
      <diagonal/>
    </border>
    <border>
      <left style="medium">
        <color rgb="FF2B2869"/>
      </left>
      <right/>
      <top style="thin">
        <color indexed="64"/>
      </top>
      <bottom style="thin">
        <color indexed="64"/>
      </bottom>
      <diagonal/>
    </border>
    <border>
      <left style="thin">
        <color indexed="64"/>
      </left>
      <right style="medium">
        <color rgb="FF2B2869"/>
      </right>
      <top style="thin">
        <color indexed="64"/>
      </top>
      <bottom style="thin">
        <color indexed="64"/>
      </bottom>
      <diagonal/>
    </border>
    <border>
      <left style="medium">
        <color rgb="FF2B2869"/>
      </left>
      <right/>
      <top style="thin">
        <color indexed="64"/>
      </top>
      <bottom style="medium">
        <color rgb="FF2B2869"/>
      </bottom>
      <diagonal/>
    </border>
    <border>
      <left style="thin">
        <color indexed="64"/>
      </left>
      <right style="medium">
        <color rgb="FF2B2869"/>
      </right>
      <top style="thin">
        <color indexed="64"/>
      </top>
      <bottom style="medium">
        <color rgb="FF2B2869"/>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s>
  <cellStyleXfs count="5">
    <xf numFmtId="0" fontId="0" fillId="0" borderId="0"/>
    <xf numFmtId="9" fontId="2" fillId="0" borderId="0" applyFont="0" applyFill="0" applyBorder="0" applyAlignment="0" applyProtection="0"/>
    <xf numFmtId="164"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cellStyleXfs>
  <cellXfs count="372">
    <xf numFmtId="0" fontId="0" fillId="0" borderId="0" xfId="0"/>
    <xf numFmtId="0" fontId="0" fillId="2" borderId="0" xfId="0" applyFill="1"/>
    <xf numFmtId="0" fontId="1" fillId="2" borderId="0" xfId="0" applyFont="1" applyFill="1"/>
    <xf numFmtId="0" fontId="0" fillId="3" borderId="16" xfId="0" applyFill="1" applyBorder="1"/>
    <xf numFmtId="0" fontId="0" fillId="3" borderId="4" xfId="0" applyFill="1" applyBorder="1"/>
    <xf numFmtId="0" fontId="0" fillId="3" borderId="8" xfId="0" applyFill="1" applyBorder="1"/>
    <xf numFmtId="0" fontId="0" fillId="3" borderId="2" xfId="0" applyFill="1" applyBorder="1"/>
    <xf numFmtId="0" fontId="0" fillId="3" borderId="18" xfId="0" applyFill="1" applyBorder="1"/>
    <xf numFmtId="0" fontId="0" fillId="3" borderId="5" xfId="0" applyFill="1" applyBorder="1"/>
    <xf numFmtId="167" fontId="0" fillId="3" borderId="4" xfId="2" applyNumberFormat="1" applyFont="1" applyFill="1" applyBorder="1"/>
    <xf numFmtId="167" fontId="0" fillId="3" borderId="2" xfId="2" applyNumberFormat="1" applyFont="1" applyFill="1" applyBorder="1"/>
    <xf numFmtId="169" fontId="0" fillId="3" borderId="2" xfId="0" applyNumberFormat="1" applyFill="1" applyBorder="1"/>
    <xf numFmtId="169" fontId="0" fillId="3" borderId="4" xfId="0" applyNumberFormat="1" applyFill="1" applyBorder="1"/>
    <xf numFmtId="0" fontId="1" fillId="3" borderId="25" xfId="0" applyFont="1" applyFill="1" applyBorder="1"/>
    <xf numFmtId="0" fontId="1" fillId="3" borderId="26" xfId="0" applyFont="1" applyFill="1" applyBorder="1"/>
    <xf numFmtId="0" fontId="1" fillId="3" borderId="27" xfId="0" applyFont="1" applyFill="1" applyBorder="1"/>
    <xf numFmtId="0" fontId="1" fillId="3" borderId="17" xfId="0" applyFont="1" applyFill="1" applyBorder="1"/>
    <xf numFmtId="9" fontId="0" fillId="3" borderId="2" xfId="1" applyFont="1" applyFill="1" applyBorder="1"/>
    <xf numFmtId="9" fontId="0" fillId="3" borderId="4" xfId="1" applyFont="1" applyFill="1" applyBorder="1"/>
    <xf numFmtId="9" fontId="0" fillId="3" borderId="24" xfId="1" applyFont="1" applyFill="1" applyBorder="1" applyAlignment="1">
      <alignment horizontal="center"/>
    </xf>
    <xf numFmtId="9" fontId="0" fillId="3" borderId="9" xfId="1" applyFont="1" applyFill="1" applyBorder="1" applyAlignment="1">
      <alignment horizontal="center"/>
    </xf>
    <xf numFmtId="167" fontId="0" fillId="3" borderId="5" xfId="2" applyNumberFormat="1" applyFont="1" applyFill="1" applyBorder="1"/>
    <xf numFmtId="9" fontId="0" fillId="3" borderId="5" xfId="1" applyFont="1" applyFill="1" applyBorder="1"/>
    <xf numFmtId="169" fontId="0" fillId="3" borderId="5" xfId="0" applyNumberFormat="1" applyFill="1" applyBorder="1"/>
    <xf numFmtId="9" fontId="0" fillId="3" borderId="6" xfId="1" applyFont="1" applyFill="1" applyBorder="1" applyAlignment="1">
      <alignment horizontal="center"/>
    </xf>
    <xf numFmtId="0" fontId="6" fillId="0" borderId="0" xfId="0" applyFont="1"/>
    <xf numFmtId="0" fontId="7" fillId="0" borderId="0" xfId="0" applyFont="1" applyAlignment="1">
      <alignment vertical="top"/>
    </xf>
    <xf numFmtId="0" fontId="6" fillId="0" borderId="0" xfId="0" applyFont="1" applyAlignment="1">
      <alignment vertical="top"/>
    </xf>
    <xf numFmtId="0" fontId="8" fillId="0" borderId="0" xfId="0" applyFont="1" applyAlignment="1">
      <alignment vertical="center" wrapText="1"/>
    </xf>
    <xf numFmtId="0" fontId="6" fillId="0" borderId="0" xfId="0" applyFont="1" applyAlignment="1">
      <alignment vertical="center" wrapText="1"/>
    </xf>
    <xf numFmtId="0" fontId="10" fillId="5" borderId="38" xfId="0" applyFont="1" applyFill="1" applyBorder="1" applyAlignment="1">
      <alignment horizontal="left" vertical="center" wrapText="1"/>
    </xf>
    <xf numFmtId="0" fontId="8" fillId="0" borderId="39" xfId="0" applyFont="1" applyBorder="1" applyAlignment="1">
      <alignment horizontal="left" vertical="center" wrapText="1"/>
    </xf>
    <xf numFmtId="0" fontId="6" fillId="0" borderId="39" xfId="0" applyFont="1" applyBorder="1" applyAlignment="1">
      <alignment horizontal="left" vertical="center" wrapText="1"/>
    </xf>
    <xf numFmtId="0" fontId="8" fillId="0" borderId="40" xfId="0" applyFont="1" applyBorder="1" applyAlignment="1">
      <alignment horizontal="left" vertical="center" wrapText="1"/>
    </xf>
    <xf numFmtId="0" fontId="6" fillId="0" borderId="40" xfId="0" applyFont="1" applyBorder="1" applyAlignment="1">
      <alignment horizontal="left" vertical="center" wrapText="1"/>
    </xf>
    <xf numFmtId="0" fontId="11" fillId="0" borderId="0" xfId="0" applyFont="1" applyAlignment="1">
      <alignment horizontal="left" vertical="top"/>
    </xf>
    <xf numFmtId="0" fontId="12" fillId="0" borderId="0" xfId="0" applyFont="1" applyAlignment="1">
      <alignment vertical="top"/>
    </xf>
    <xf numFmtId="0" fontId="11"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3" fillId="0" borderId="0" xfId="3" applyAlignment="1">
      <alignment vertical="center"/>
    </xf>
    <xf numFmtId="0" fontId="13" fillId="0" borderId="0" xfId="0" applyFont="1" applyAlignment="1">
      <alignment vertical="center" wrapText="1"/>
    </xf>
    <xf numFmtId="0" fontId="13" fillId="0" borderId="0" xfId="0" applyFont="1"/>
    <xf numFmtId="14" fontId="6" fillId="0" borderId="39" xfId="0" applyNumberFormat="1" applyFont="1" applyBorder="1" applyAlignment="1">
      <alignment horizontal="left" vertical="center" wrapText="1"/>
    </xf>
    <xf numFmtId="0" fontId="16" fillId="0" borderId="0" xfId="0" applyFont="1"/>
    <xf numFmtId="166" fontId="16" fillId="2" borderId="0" xfId="2" applyNumberFormat="1" applyFont="1" applyFill="1" applyBorder="1" applyAlignment="1" applyProtection="1">
      <alignment horizontal="center"/>
    </xf>
    <xf numFmtId="170" fontId="16" fillId="4" borderId="4" xfId="1" applyNumberFormat="1" applyFont="1" applyFill="1" applyBorder="1" applyProtection="1"/>
    <xf numFmtId="170" fontId="16" fillId="4" borderId="2" xfId="1" applyNumberFormat="1" applyFont="1" applyFill="1" applyBorder="1" applyProtection="1"/>
    <xf numFmtId="0" fontId="18" fillId="2" borderId="0" xfId="3" applyFont="1" applyFill="1" applyProtection="1"/>
    <xf numFmtId="170" fontId="16" fillId="4" borderId="5" xfId="1" applyNumberFormat="1" applyFont="1" applyFill="1" applyBorder="1" applyProtection="1"/>
    <xf numFmtId="170" fontId="17" fillId="4" borderId="1" xfId="1" applyNumberFormat="1" applyFont="1" applyFill="1" applyBorder="1" applyProtection="1"/>
    <xf numFmtId="170" fontId="16" fillId="2" borderId="0" xfId="1" applyNumberFormat="1" applyFont="1" applyFill="1" applyProtection="1"/>
    <xf numFmtId="2" fontId="16" fillId="2" borderId="0" xfId="1" applyNumberFormat="1" applyFont="1" applyFill="1" applyBorder="1" applyAlignment="1" applyProtection="1">
      <alignment horizontal="center"/>
    </xf>
    <xf numFmtId="171" fontId="21" fillId="7" borderId="4" xfId="2" applyNumberFormat="1" applyFont="1" applyFill="1" applyBorder="1" applyProtection="1"/>
    <xf numFmtId="171" fontId="21" fillId="7" borderId="2" xfId="2" applyNumberFormat="1" applyFont="1" applyFill="1" applyBorder="1" applyProtection="1"/>
    <xf numFmtId="171" fontId="21" fillId="7" borderId="5" xfId="2" applyNumberFormat="1" applyFont="1" applyFill="1" applyBorder="1" applyProtection="1"/>
    <xf numFmtId="167" fontId="22" fillId="7" borderId="14" xfId="2" applyNumberFormat="1" applyFont="1" applyFill="1" applyBorder="1" applyAlignment="1" applyProtection="1">
      <alignment horizontal="center"/>
    </xf>
    <xf numFmtId="167" fontId="22" fillId="7" borderId="13" xfId="2" applyNumberFormat="1" applyFont="1" applyFill="1" applyBorder="1" applyAlignment="1" applyProtection="1">
      <alignment horizontal="center"/>
    </xf>
    <xf numFmtId="164" fontId="21" fillId="7" borderId="54" xfId="2" applyFont="1" applyFill="1" applyBorder="1" applyProtection="1"/>
    <xf numFmtId="164" fontId="21" fillId="7" borderId="55" xfId="2" applyFont="1" applyFill="1" applyBorder="1" applyProtection="1"/>
    <xf numFmtId="164" fontId="21" fillId="7" borderId="56" xfId="2" applyFont="1" applyFill="1" applyBorder="1" applyProtection="1"/>
    <xf numFmtId="164" fontId="21" fillId="7" borderId="57" xfId="2" applyFont="1" applyFill="1" applyBorder="1" applyProtection="1"/>
    <xf numFmtId="164" fontId="21" fillId="7" borderId="58" xfId="2" applyFont="1" applyFill="1" applyBorder="1" applyProtection="1"/>
    <xf numFmtId="164" fontId="21" fillId="7" borderId="59" xfId="2" applyFont="1" applyFill="1" applyBorder="1" applyProtection="1"/>
    <xf numFmtId="170" fontId="21" fillId="7" borderId="41" xfId="1" applyNumberFormat="1" applyFont="1" applyFill="1" applyBorder="1" applyAlignment="1" applyProtection="1">
      <alignment horizontal="center"/>
    </xf>
    <xf numFmtId="170" fontId="21" fillId="7" borderId="54" xfId="1" applyNumberFormat="1" applyFont="1" applyFill="1" applyBorder="1" applyAlignment="1" applyProtection="1">
      <alignment horizontal="center"/>
    </xf>
    <xf numFmtId="170" fontId="21" fillId="7" borderId="60" xfId="1" applyNumberFormat="1" applyFont="1" applyFill="1" applyBorder="1" applyAlignment="1" applyProtection="1">
      <alignment horizontal="center"/>
    </xf>
    <xf numFmtId="170" fontId="21" fillId="7" borderId="55" xfId="1" applyNumberFormat="1" applyFont="1" applyFill="1" applyBorder="1" applyAlignment="1" applyProtection="1">
      <alignment horizontal="center"/>
    </xf>
    <xf numFmtId="170" fontId="21" fillId="7" borderId="56" xfId="1" applyNumberFormat="1" applyFont="1" applyFill="1" applyBorder="1" applyAlignment="1" applyProtection="1">
      <alignment horizontal="center"/>
    </xf>
    <xf numFmtId="170" fontId="21" fillId="7" borderId="57" xfId="1" applyNumberFormat="1" applyFont="1" applyFill="1" applyBorder="1" applyAlignment="1" applyProtection="1">
      <alignment horizontal="center"/>
    </xf>
    <xf numFmtId="170" fontId="21" fillId="7" borderId="58" xfId="1" applyNumberFormat="1" applyFont="1" applyFill="1" applyBorder="1" applyAlignment="1" applyProtection="1">
      <alignment horizontal="center"/>
    </xf>
    <xf numFmtId="170" fontId="21" fillId="7" borderId="61" xfId="1" applyNumberFormat="1" applyFont="1" applyFill="1" applyBorder="1" applyAlignment="1" applyProtection="1">
      <alignment horizontal="center"/>
    </xf>
    <xf numFmtId="170" fontId="21" fillId="7" borderId="59" xfId="1" applyNumberFormat="1" applyFont="1" applyFill="1" applyBorder="1" applyAlignment="1" applyProtection="1">
      <alignment horizontal="center"/>
    </xf>
    <xf numFmtId="170" fontId="22" fillId="7" borderId="42" xfId="1" applyNumberFormat="1" applyFont="1" applyFill="1" applyBorder="1" applyAlignment="1" applyProtection="1">
      <alignment horizontal="center"/>
    </xf>
    <xf numFmtId="170" fontId="22" fillId="7" borderId="42" xfId="1" applyNumberFormat="1" applyFont="1" applyFill="1" applyBorder="1" applyProtection="1"/>
    <xf numFmtId="171" fontId="21" fillId="7" borderId="29" xfId="2" applyNumberFormat="1" applyFont="1" applyFill="1" applyBorder="1" applyProtection="1"/>
    <xf numFmtId="171" fontId="21" fillId="7" borderId="30" xfId="2" applyNumberFormat="1" applyFont="1" applyFill="1" applyBorder="1" applyProtection="1"/>
    <xf numFmtId="171" fontId="21" fillId="7" borderId="31" xfId="2" applyNumberFormat="1" applyFont="1" applyFill="1" applyBorder="1" applyProtection="1"/>
    <xf numFmtId="170" fontId="22" fillId="7" borderId="48" xfId="1" applyNumberFormat="1" applyFont="1" applyFill="1" applyBorder="1" applyAlignment="1" applyProtection="1">
      <alignment horizontal="center"/>
    </xf>
    <xf numFmtId="170" fontId="22" fillId="7" borderId="49" xfId="1" applyNumberFormat="1" applyFont="1" applyFill="1" applyBorder="1" applyAlignment="1" applyProtection="1">
      <alignment horizontal="center"/>
    </xf>
    <xf numFmtId="170" fontId="22" fillId="7" borderId="50" xfId="1" applyNumberFormat="1" applyFont="1" applyFill="1" applyBorder="1" applyAlignment="1" applyProtection="1">
      <alignment horizontal="center"/>
    </xf>
    <xf numFmtId="44" fontId="21" fillId="2" borderId="55" xfId="4" applyFont="1" applyFill="1" applyBorder="1" applyAlignment="1" applyProtection="1">
      <alignment horizontal="center"/>
      <protection locked="0"/>
    </xf>
    <xf numFmtId="2" fontId="21" fillId="2" borderId="41" xfId="0" applyNumberFormat="1" applyFont="1" applyFill="1" applyBorder="1" applyAlignment="1" applyProtection="1">
      <alignment horizontal="center"/>
      <protection locked="0"/>
    </xf>
    <xf numFmtId="44" fontId="21" fillId="2" borderId="57" xfId="4" applyFont="1" applyFill="1" applyBorder="1" applyAlignment="1" applyProtection="1">
      <alignment horizontal="center"/>
      <protection locked="0"/>
    </xf>
    <xf numFmtId="44" fontId="21" fillId="2" borderId="57" xfId="4" applyFont="1" applyFill="1" applyBorder="1" applyProtection="1">
      <protection locked="0"/>
    </xf>
    <xf numFmtId="2" fontId="21" fillId="2" borderId="61" xfId="0" applyNumberFormat="1" applyFont="1" applyFill="1" applyBorder="1" applyAlignment="1" applyProtection="1">
      <alignment horizontal="center"/>
      <protection locked="0"/>
    </xf>
    <xf numFmtId="44" fontId="21" fillId="2" borderId="59" xfId="4" applyFont="1" applyFill="1" applyBorder="1" applyProtection="1">
      <protection locked="0"/>
    </xf>
    <xf numFmtId="9" fontId="21" fillId="2" borderId="54" xfId="0" applyNumberFormat="1" applyFont="1" applyFill="1" applyBorder="1" applyAlignment="1" applyProtection="1">
      <alignment horizontal="center"/>
      <protection locked="0"/>
    </xf>
    <xf numFmtId="9" fontId="21" fillId="2" borderId="65" xfId="0" applyNumberFormat="1" applyFont="1" applyFill="1" applyBorder="1" applyAlignment="1" applyProtection="1">
      <alignment horizontal="center"/>
      <protection locked="0"/>
    </xf>
    <xf numFmtId="0" fontId="21" fillId="2" borderId="56" xfId="0" applyFont="1" applyFill="1" applyBorder="1" applyProtection="1">
      <protection locked="0"/>
    </xf>
    <xf numFmtId="167" fontId="21" fillId="2" borderId="41" xfId="2" applyNumberFormat="1" applyFont="1" applyFill="1" applyBorder="1" applyProtection="1">
      <protection locked="0"/>
    </xf>
    <xf numFmtId="0" fontId="21" fillId="2" borderId="66" xfId="0" applyFont="1" applyFill="1" applyBorder="1" applyAlignment="1" applyProtection="1">
      <alignment horizontal="center"/>
      <protection locked="0"/>
    </xf>
    <xf numFmtId="0" fontId="21" fillId="2" borderId="56" xfId="0" applyFont="1" applyFill="1" applyBorder="1" applyAlignment="1" applyProtection="1">
      <alignment horizontal="center"/>
      <protection locked="0"/>
    </xf>
    <xf numFmtId="0" fontId="21" fillId="2" borderId="41" xfId="0" applyFont="1" applyFill="1" applyBorder="1" applyAlignment="1" applyProtection="1">
      <alignment horizontal="center"/>
      <protection locked="0"/>
    </xf>
    <xf numFmtId="9" fontId="21" fillId="2" borderId="66" xfId="0" applyNumberFormat="1" applyFont="1" applyFill="1" applyBorder="1" applyAlignment="1" applyProtection="1">
      <alignment horizontal="center"/>
      <protection locked="0"/>
    </xf>
    <xf numFmtId="9" fontId="21" fillId="2" borderId="56" xfId="0" applyNumberFormat="1" applyFont="1" applyFill="1" applyBorder="1" applyAlignment="1" applyProtection="1">
      <alignment horizontal="center"/>
      <protection locked="0"/>
    </xf>
    <xf numFmtId="2" fontId="21" fillId="2" borderId="66" xfId="0" applyNumberFormat="1" applyFont="1" applyFill="1" applyBorder="1" applyAlignment="1" applyProtection="1">
      <alignment horizontal="center"/>
      <protection locked="0"/>
    </xf>
    <xf numFmtId="0" fontId="21" fillId="2" borderId="58" xfId="0" applyFont="1" applyFill="1" applyBorder="1" applyProtection="1">
      <protection locked="0"/>
    </xf>
    <xf numFmtId="167" fontId="21" fillId="2" borderId="61" xfId="2" applyNumberFormat="1" applyFont="1" applyFill="1" applyBorder="1" applyProtection="1">
      <protection locked="0"/>
    </xf>
    <xf numFmtId="0" fontId="21" fillId="2" borderId="67" xfId="0" applyFont="1" applyFill="1" applyBorder="1" applyAlignment="1" applyProtection="1">
      <alignment horizontal="center"/>
      <protection locked="0"/>
    </xf>
    <xf numFmtId="0" fontId="21" fillId="2" borderId="58" xfId="0" applyFont="1" applyFill="1" applyBorder="1" applyAlignment="1" applyProtection="1">
      <alignment horizontal="center"/>
      <protection locked="0"/>
    </xf>
    <xf numFmtId="0" fontId="21" fillId="2" borderId="61" xfId="0" applyFont="1" applyFill="1" applyBorder="1" applyAlignment="1" applyProtection="1">
      <alignment horizontal="center"/>
      <protection locked="0"/>
    </xf>
    <xf numFmtId="9" fontId="21" fillId="2" borderId="67" xfId="0" applyNumberFormat="1" applyFont="1" applyFill="1" applyBorder="1" applyAlignment="1" applyProtection="1">
      <alignment horizontal="center"/>
      <protection locked="0"/>
    </xf>
    <xf numFmtId="9" fontId="21" fillId="2" borderId="58" xfId="0" applyNumberFormat="1" applyFont="1" applyFill="1" applyBorder="1" applyAlignment="1" applyProtection="1">
      <alignment horizontal="center"/>
      <protection locked="0"/>
    </xf>
    <xf numFmtId="2" fontId="21" fillId="2" borderId="67" xfId="0" applyNumberFormat="1" applyFont="1" applyFill="1" applyBorder="1" applyAlignment="1" applyProtection="1">
      <alignment horizontal="center"/>
      <protection locked="0"/>
    </xf>
    <xf numFmtId="170" fontId="21" fillId="2" borderId="51" xfId="1" applyNumberFormat="1" applyFont="1" applyFill="1" applyBorder="1" applyProtection="1">
      <protection locked="0"/>
    </xf>
    <xf numFmtId="170" fontId="21" fillId="2" borderId="52" xfId="1" applyNumberFormat="1" applyFont="1" applyFill="1" applyBorder="1" applyProtection="1">
      <protection locked="0"/>
    </xf>
    <xf numFmtId="0" fontId="23" fillId="2" borderId="52" xfId="3" applyFont="1" applyFill="1" applyBorder="1" applyProtection="1">
      <protection locked="0"/>
    </xf>
    <xf numFmtId="0" fontId="21" fillId="2" borderId="52" xfId="0" applyFont="1" applyFill="1" applyBorder="1" applyProtection="1">
      <protection locked="0"/>
    </xf>
    <xf numFmtId="0" fontId="21" fillId="2" borderId="53" xfId="0" applyFont="1" applyFill="1" applyBorder="1" applyProtection="1">
      <protection locked="0"/>
    </xf>
    <xf numFmtId="0" fontId="21" fillId="2" borderId="68" xfId="0" applyFont="1" applyFill="1" applyBorder="1" applyProtection="1">
      <protection locked="0"/>
    </xf>
    <xf numFmtId="9" fontId="21" fillId="2" borderId="68" xfId="1" applyFont="1" applyFill="1" applyBorder="1" applyAlignment="1" applyProtection="1">
      <alignment horizontal="center"/>
      <protection locked="0"/>
    </xf>
    <xf numFmtId="2" fontId="21" fillId="2" borderId="69" xfId="1" applyNumberFormat="1" applyFont="1" applyFill="1" applyBorder="1" applyAlignment="1" applyProtection="1">
      <alignment horizontal="center"/>
      <protection locked="0"/>
    </xf>
    <xf numFmtId="2" fontId="21" fillId="2" borderId="70" xfId="1" applyNumberFormat="1" applyFont="1" applyFill="1" applyBorder="1" applyAlignment="1" applyProtection="1">
      <alignment horizontal="center"/>
      <protection locked="0"/>
    </xf>
    <xf numFmtId="2" fontId="21" fillId="7" borderId="76" xfId="1" applyNumberFormat="1" applyFont="1" applyFill="1" applyBorder="1" applyAlignment="1" applyProtection="1">
      <alignment horizontal="center"/>
    </xf>
    <xf numFmtId="9" fontId="21" fillId="7" borderId="54" xfId="1" applyFont="1" applyFill="1" applyBorder="1" applyAlignment="1" applyProtection="1">
      <alignment horizontal="center"/>
    </xf>
    <xf numFmtId="9" fontId="21" fillId="2" borderId="55" xfId="1" applyFont="1" applyFill="1" applyBorder="1" applyAlignment="1" applyProtection="1">
      <alignment horizontal="center"/>
      <protection locked="0"/>
    </xf>
    <xf numFmtId="9" fontId="21" fillId="7" borderId="56" xfId="1" applyFont="1" applyFill="1" applyBorder="1" applyAlignment="1" applyProtection="1">
      <alignment horizontal="center"/>
    </xf>
    <xf numFmtId="9" fontId="21" fillId="2" borderId="57" xfId="1" applyFont="1" applyFill="1" applyBorder="1" applyAlignment="1" applyProtection="1">
      <alignment horizontal="center"/>
      <protection locked="0"/>
    </xf>
    <xf numFmtId="9" fontId="21" fillId="7" borderId="56" xfId="1" applyFont="1" applyFill="1" applyBorder="1" applyAlignment="1" applyProtection="1">
      <alignment horizontal="center" vertical="center"/>
    </xf>
    <xf numFmtId="9" fontId="21" fillId="2" borderId="59" xfId="1" applyFont="1" applyFill="1" applyBorder="1" applyAlignment="1" applyProtection="1">
      <alignment horizontal="center"/>
      <protection locked="0"/>
    </xf>
    <xf numFmtId="9" fontId="21" fillId="7" borderId="58" xfId="1" applyFont="1" applyFill="1" applyBorder="1" applyAlignment="1" applyProtection="1">
      <alignment horizontal="center"/>
    </xf>
    <xf numFmtId="2" fontId="21" fillId="7" borderId="54" xfId="1" applyNumberFormat="1" applyFont="1" applyFill="1" applyBorder="1" applyAlignment="1" applyProtection="1">
      <alignment horizontal="center"/>
    </xf>
    <xf numFmtId="2" fontId="21" fillId="2" borderId="55" xfId="1" applyNumberFormat="1" applyFont="1" applyFill="1" applyBorder="1" applyAlignment="1" applyProtection="1">
      <alignment horizontal="center"/>
      <protection locked="0"/>
    </xf>
    <xf numFmtId="2" fontId="21" fillId="2" borderId="57" xfId="0" applyNumberFormat="1" applyFont="1" applyFill="1" applyBorder="1" applyAlignment="1" applyProtection="1">
      <alignment horizontal="center"/>
      <protection locked="0"/>
    </xf>
    <xf numFmtId="2" fontId="21" fillId="2" borderId="57" xfId="0" applyNumberFormat="1" applyFont="1" applyFill="1" applyBorder="1" applyAlignment="1" applyProtection="1">
      <alignment horizontal="center" vertical="center"/>
      <protection locked="0"/>
    </xf>
    <xf numFmtId="2" fontId="21" fillId="2" borderId="59" xfId="0" applyNumberFormat="1" applyFont="1" applyFill="1" applyBorder="1" applyAlignment="1" applyProtection="1">
      <alignment horizontal="center"/>
      <protection locked="0"/>
    </xf>
    <xf numFmtId="0" fontId="22" fillId="0" borderId="0" xfId="0" applyFont="1"/>
    <xf numFmtId="0" fontId="21" fillId="0" borderId="0" xfId="0" applyFont="1"/>
    <xf numFmtId="0" fontId="21" fillId="0" borderId="0" xfId="0" applyFont="1" applyAlignment="1">
      <alignment wrapText="1"/>
    </xf>
    <xf numFmtId="0" fontId="29" fillId="0" borderId="0" xfId="0" applyFont="1"/>
    <xf numFmtId="0" fontId="27" fillId="0" borderId="0" xfId="0" applyFont="1" applyAlignment="1">
      <alignment wrapText="1"/>
    </xf>
    <xf numFmtId="0" fontId="16" fillId="2" borderId="0" xfId="0" applyFont="1" applyFill="1"/>
    <xf numFmtId="10" fontId="16" fillId="2" borderId="0" xfId="0" applyNumberFormat="1" applyFont="1" applyFill="1"/>
    <xf numFmtId="0" fontId="14" fillId="2" borderId="0" xfId="0" applyFont="1" applyFill="1"/>
    <xf numFmtId="0" fontId="14" fillId="0" borderId="0" xfId="0" applyFont="1"/>
    <xf numFmtId="0" fontId="28" fillId="8" borderId="42" xfId="0" applyFont="1" applyFill="1" applyBorder="1" applyAlignment="1">
      <alignment vertical="center"/>
    </xf>
    <xf numFmtId="0" fontId="28" fillId="8" borderId="87" xfId="0" applyFont="1" applyFill="1" applyBorder="1"/>
    <xf numFmtId="0" fontId="17" fillId="2" borderId="0" xfId="0" applyFont="1" applyFill="1"/>
    <xf numFmtId="43" fontId="16" fillId="2" borderId="0" xfId="0" applyNumberFormat="1" applyFont="1" applyFill="1"/>
    <xf numFmtId="0" fontId="16" fillId="2" borderId="0" xfId="0" applyFont="1" applyFill="1" applyAlignment="1">
      <alignment horizontal="center"/>
    </xf>
    <xf numFmtId="168" fontId="16" fillId="2" borderId="0" xfId="0" applyNumberFormat="1" applyFont="1" applyFill="1" applyAlignment="1">
      <alignment horizontal="center"/>
    </xf>
    <xf numFmtId="0" fontId="22" fillId="8" borderId="43" xfId="0" applyFont="1" applyFill="1" applyBorder="1" applyAlignment="1">
      <alignment horizontal="center"/>
    </xf>
    <xf numFmtId="0" fontId="22" fillId="8" borderId="80" xfId="0" applyFont="1" applyFill="1" applyBorder="1"/>
    <xf numFmtId="0" fontId="20" fillId="6" borderId="0" xfId="0" applyFont="1" applyFill="1"/>
    <xf numFmtId="0" fontId="22" fillId="8" borderId="45" xfId="0" applyFont="1" applyFill="1" applyBorder="1" applyAlignment="1">
      <alignment horizontal="center"/>
    </xf>
    <xf numFmtId="0" fontId="22" fillId="8" borderId="44" xfId="0" applyFont="1" applyFill="1" applyBorder="1" applyAlignment="1">
      <alignment horizontal="center" vertical="center" wrapText="1"/>
    </xf>
    <xf numFmtId="0" fontId="22" fillId="8" borderId="82" xfId="0" applyFont="1" applyFill="1" applyBorder="1" applyAlignment="1">
      <alignment horizontal="center"/>
    </xf>
    <xf numFmtId="0" fontId="26" fillId="8" borderId="46" xfId="0" applyFont="1" applyFill="1" applyBorder="1" applyAlignment="1">
      <alignment horizontal="center"/>
    </xf>
    <xf numFmtId="0" fontId="26" fillId="8" borderId="47" xfId="0" applyFont="1" applyFill="1" applyBorder="1" applyAlignment="1">
      <alignment horizontal="center"/>
    </xf>
    <xf numFmtId="0" fontId="22" fillId="8" borderId="84" xfId="0" applyFont="1" applyFill="1" applyBorder="1" applyAlignment="1">
      <alignment horizontal="center" wrapText="1"/>
    </xf>
    <xf numFmtId="0" fontId="22" fillId="8" borderId="85" xfId="0" applyFont="1" applyFill="1" applyBorder="1" applyAlignment="1">
      <alignment horizontal="center" wrapText="1"/>
    </xf>
    <xf numFmtId="0" fontId="22" fillId="8" borderId="86" xfId="0" applyFont="1" applyFill="1" applyBorder="1" applyAlignment="1">
      <alignment horizontal="center" wrapText="1"/>
    </xf>
    <xf numFmtId="0" fontId="20" fillId="6" borderId="3" xfId="0" applyFont="1" applyFill="1" applyBorder="1"/>
    <xf numFmtId="0" fontId="24" fillId="8" borderId="71" xfId="0" applyFont="1" applyFill="1" applyBorder="1" applyAlignment="1">
      <alignment horizontal="center"/>
    </xf>
    <xf numFmtId="0" fontId="24" fillId="8" borderId="73" xfId="0" applyFont="1" applyFill="1" applyBorder="1" applyAlignment="1">
      <alignment horizontal="center"/>
    </xf>
    <xf numFmtId="0" fontId="17" fillId="4" borderId="32" xfId="0" applyFont="1" applyFill="1" applyBorder="1"/>
    <xf numFmtId="0" fontId="17" fillId="4" borderId="10" xfId="0" applyFont="1" applyFill="1" applyBorder="1"/>
    <xf numFmtId="0" fontId="17" fillId="4" borderId="20" xfId="0" applyFont="1" applyFill="1" applyBorder="1"/>
    <xf numFmtId="0" fontId="17" fillId="4" borderId="21" xfId="0" applyFont="1" applyFill="1" applyBorder="1"/>
    <xf numFmtId="0" fontId="17" fillId="4" borderId="23" xfId="0" applyFont="1" applyFill="1" applyBorder="1" applyAlignment="1">
      <alignment horizontal="center" wrapText="1"/>
    </xf>
    <xf numFmtId="2" fontId="22" fillId="7" borderId="48" xfId="0" applyNumberFormat="1" applyFont="1" applyFill="1" applyBorder="1" applyAlignment="1">
      <alignment horizontal="center"/>
    </xf>
    <xf numFmtId="0" fontId="21" fillId="7" borderId="34" xfId="0" applyFont="1" applyFill="1" applyBorder="1"/>
    <xf numFmtId="0" fontId="21" fillId="7" borderId="0" xfId="0" applyFont="1" applyFill="1"/>
    <xf numFmtId="167" fontId="16" fillId="4" borderId="32" xfId="2" applyNumberFormat="1" applyFont="1" applyFill="1" applyBorder="1" applyProtection="1"/>
    <xf numFmtId="9" fontId="16" fillId="4" borderId="16" xfId="1" applyFont="1" applyFill="1" applyBorder="1" applyProtection="1"/>
    <xf numFmtId="167" fontId="16" fillId="4" borderId="4" xfId="2" applyNumberFormat="1" applyFont="1" applyFill="1" applyBorder="1" applyProtection="1"/>
    <xf numFmtId="9" fontId="16" fillId="4" borderId="4" xfId="1" applyFont="1" applyFill="1" applyBorder="1" applyProtection="1"/>
    <xf numFmtId="2" fontId="16" fillId="4" borderId="24" xfId="0" applyNumberFormat="1" applyFont="1" applyFill="1" applyBorder="1"/>
    <xf numFmtId="170" fontId="16" fillId="4" borderId="19" xfId="1" applyNumberFormat="1" applyFont="1" applyFill="1" applyBorder="1" applyAlignment="1" applyProtection="1">
      <alignment horizontal="center"/>
    </xf>
    <xf numFmtId="2" fontId="21" fillId="7" borderId="52" xfId="0" applyNumberFormat="1" applyFont="1" applyFill="1" applyBorder="1" applyAlignment="1">
      <alignment horizontal="center"/>
    </xf>
    <xf numFmtId="2" fontId="22" fillId="7" borderId="49" xfId="0" applyNumberFormat="1" applyFont="1" applyFill="1" applyBorder="1" applyAlignment="1">
      <alignment horizontal="center"/>
    </xf>
    <xf numFmtId="0" fontId="21" fillId="7" borderId="35" xfId="0" applyFont="1" applyFill="1" applyBorder="1"/>
    <xf numFmtId="9" fontId="16" fillId="4" borderId="8" xfId="1" applyFont="1" applyFill="1" applyBorder="1" applyProtection="1"/>
    <xf numFmtId="167" fontId="16" fillId="4" borderId="2" xfId="2" applyNumberFormat="1" applyFont="1" applyFill="1" applyBorder="1" applyProtection="1"/>
    <xf numFmtId="9" fontId="16" fillId="4" borderId="2" xfId="1" applyFont="1" applyFill="1" applyBorder="1" applyProtection="1"/>
    <xf numFmtId="2" fontId="16" fillId="4" borderId="9" xfId="0" applyNumberFormat="1" applyFont="1" applyFill="1" applyBorder="1"/>
    <xf numFmtId="170" fontId="16" fillId="4" borderId="11" xfId="1" applyNumberFormat="1" applyFont="1" applyFill="1" applyBorder="1" applyAlignment="1" applyProtection="1">
      <alignment horizontal="center"/>
    </xf>
    <xf numFmtId="2" fontId="21" fillId="7" borderId="53" xfId="0" applyNumberFormat="1" applyFont="1" applyFill="1" applyBorder="1" applyAlignment="1">
      <alignment horizontal="center"/>
    </xf>
    <xf numFmtId="2" fontId="22" fillId="7" borderId="50" xfId="0" applyNumberFormat="1" applyFont="1" applyFill="1" applyBorder="1" applyAlignment="1">
      <alignment horizontal="center"/>
    </xf>
    <xf numFmtId="0" fontId="21" fillId="7" borderId="36" xfId="0" applyFont="1" applyFill="1" applyBorder="1"/>
    <xf numFmtId="9" fontId="16" fillId="4" borderId="18" xfId="1" applyFont="1" applyFill="1" applyBorder="1" applyProtection="1"/>
    <xf numFmtId="167" fontId="16" fillId="4" borderId="5" xfId="2" applyNumberFormat="1" applyFont="1" applyFill="1" applyBorder="1" applyProtection="1"/>
    <xf numFmtId="9" fontId="16" fillId="4" borderId="5" xfId="1" applyFont="1" applyFill="1" applyBorder="1" applyProtection="1"/>
    <xf numFmtId="2" fontId="16" fillId="4" borderId="6" xfId="0" applyNumberFormat="1" applyFont="1" applyFill="1" applyBorder="1"/>
    <xf numFmtId="0" fontId="22" fillId="7" borderId="15" xfId="0" applyFont="1" applyFill="1" applyBorder="1"/>
    <xf numFmtId="0" fontId="21" fillId="2" borderId="0" xfId="0" applyFont="1" applyFill="1"/>
    <xf numFmtId="2" fontId="22" fillId="7" borderId="42" xfId="0" applyNumberFormat="1" applyFont="1" applyFill="1" applyBorder="1" applyAlignment="1">
      <alignment horizontal="center"/>
    </xf>
    <xf numFmtId="0" fontId="22" fillId="7" borderId="42" xfId="0" applyFont="1" applyFill="1" applyBorder="1"/>
    <xf numFmtId="164" fontId="22" fillId="7" borderId="42" xfId="0" applyNumberFormat="1" applyFont="1" applyFill="1" applyBorder="1"/>
    <xf numFmtId="167" fontId="16" fillId="2" borderId="0" xfId="0" applyNumberFormat="1" applyFont="1" applyFill="1"/>
    <xf numFmtId="9" fontId="17" fillId="4" borderId="1" xfId="1" applyFont="1" applyFill="1" applyBorder="1" applyProtection="1"/>
    <xf numFmtId="167" fontId="17" fillId="2" borderId="0" xfId="0" applyNumberFormat="1" applyFont="1" applyFill="1"/>
    <xf numFmtId="2" fontId="16" fillId="4" borderId="33" xfId="0" applyNumberFormat="1" applyFont="1" applyFill="1" applyBorder="1"/>
    <xf numFmtId="170" fontId="16" fillId="4" borderId="33" xfId="1" applyNumberFormat="1" applyFont="1" applyFill="1" applyBorder="1" applyAlignment="1" applyProtection="1">
      <alignment horizontal="center"/>
    </xf>
    <xf numFmtId="0" fontId="19" fillId="2" borderId="0" xfId="0" applyFont="1" applyFill="1"/>
    <xf numFmtId="10" fontId="19" fillId="2" borderId="0" xfId="0" applyNumberFormat="1" applyFont="1" applyFill="1"/>
    <xf numFmtId="0" fontId="17" fillId="2" borderId="0" xfId="0" applyFont="1" applyFill="1" applyAlignment="1">
      <alignment horizontal="center"/>
    </xf>
    <xf numFmtId="166" fontId="22" fillId="8" borderId="46" xfId="0" applyNumberFormat="1" applyFont="1" applyFill="1" applyBorder="1" applyAlignment="1">
      <alignment horizontal="center"/>
    </xf>
    <xf numFmtId="166" fontId="22" fillId="8" borderId="47" xfId="0" applyNumberFormat="1" applyFont="1" applyFill="1" applyBorder="1" applyAlignment="1">
      <alignment horizontal="center"/>
    </xf>
    <xf numFmtId="166" fontId="17" fillId="2" borderId="0" xfId="0" applyNumberFormat="1" applyFont="1" applyFill="1" applyAlignment="1">
      <alignment horizontal="center"/>
    </xf>
    <xf numFmtId="0" fontId="21" fillId="7" borderId="51" xfId="0" applyFont="1" applyFill="1" applyBorder="1"/>
    <xf numFmtId="0" fontId="21" fillId="7" borderId="52" xfId="0" applyFont="1" applyFill="1" applyBorder="1"/>
    <xf numFmtId="2" fontId="21" fillId="7" borderId="56" xfId="0" applyNumberFormat="1" applyFont="1" applyFill="1" applyBorder="1" applyAlignment="1">
      <alignment horizontal="center"/>
    </xf>
    <xf numFmtId="2" fontId="16" fillId="2" borderId="0" xfId="0" applyNumberFormat="1" applyFont="1" applyFill="1" applyAlignment="1">
      <alignment horizontal="center"/>
    </xf>
    <xf numFmtId="2" fontId="21" fillId="7" borderId="56" xfId="0" applyNumberFormat="1" applyFont="1" applyFill="1" applyBorder="1" applyAlignment="1">
      <alignment horizontal="center" vertical="center"/>
    </xf>
    <xf numFmtId="2" fontId="16" fillId="2" borderId="0" xfId="0" applyNumberFormat="1" applyFont="1" applyFill="1" applyAlignment="1">
      <alignment horizontal="center" vertical="center"/>
    </xf>
    <xf numFmtId="0" fontId="21" fillId="7" borderId="56" xfId="0" applyFont="1" applyFill="1" applyBorder="1"/>
    <xf numFmtId="0" fontId="21" fillId="7" borderId="53" xfId="0" applyFont="1" applyFill="1" applyBorder="1"/>
    <xf numFmtId="0" fontId="21" fillId="7" borderId="58" xfId="0" applyFont="1" applyFill="1" applyBorder="1"/>
    <xf numFmtId="2" fontId="21" fillId="7" borderId="58" xfId="0" applyNumberFormat="1" applyFont="1" applyFill="1" applyBorder="1" applyAlignment="1">
      <alignment horizontal="center"/>
    </xf>
    <xf numFmtId="0" fontId="22" fillId="8" borderId="72" xfId="0" applyFont="1" applyFill="1" applyBorder="1" applyAlignment="1" applyProtection="1">
      <alignment horizontal="center" wrapText="1"/>
      <protection locked="0"/>
    </xf>
    <xf numFmtId="172" fontId="21" fillId="7" borderId="89" xfId="4" applyNumberFormat="1" applyFont="1" applyFill="1" applyBorder="1" applyProtection="1"/>
    <xf numFmtId="172" fontId="21" fillId="7" borderId="90" xfId="4" applyNumberFormat="1" applyFont="1" applyFill="1" applyBorder="1" applyProtection="1"/>
    <xf numFmtId="0" fontId="17" fillId="0" borderId="0" xfId="0" applyFont="1"/>
    <xf numFmtId="165" fontId="17" fillId="0" borderId="0" xfId="0" applyNumberFormat="1" applyFont="1"/>
    <xf numFmtId="9" fontId="17" fillId="0" borderId="0" xfId="1" applyFont="1"/>
    <xf numFmtId="165" fontId="16" fillId="0" borderId="0" xfId="0" applyNumberFormat="1" applyFont="1"/>
    <xf numFmtId="10" fontId="16" fillId="0" borderId="0" xfId="0" applyNumberFormat="1" applyFont="1"/>
    <xf numFmtId="0" fontId="22" fillId="8" borderId="42" xfId="0" applyFont="1" applyFill="1" applyBorder="1"/>
    <xf numFmtId="0" fontId="22" fillId="8" borderId="106" xfId="0" applyFont="1" applyFill="1" applyBorder="1"/>
    <xf numFmtId="0" fontId="22" fillId="8" borderId="107" xfId="0" applyFont="1" applyFill="1" applyBorder="1"/>
    <xf numFmtId="0" fontId="22" fillId="8" borderId="23" xfId="0" applyFont="1" applyFill="1" applyBorder="1"/>
    <xf numFmtId="0" fontId="22" fillId="8" borderId="1" xfId="0" applyFont="1" applyFill="1" applyBorder="1"/>
    <xf numFmtId="0" fontId="22" fillId="8" borderId="25" xfId="0" applyFont="1" applyFill="1" applyBorder="1"/>
    <xf numFmtId="0" fontId="22" fillId="8" borderId="26" xfId="0" applyFont="1" applyFill="1" applyBorder="1"/>
    <xf numFmtId="0" fontId="22" fillId="8" borderId="27" xfId="0" applyFont="1" applyFill="1" applyBorder="1"/>
    <xf numFmtId="0" fontId="22" fillId="8" borderId="17" xfId="0" applyFont="1" applyFill="1" applyBorder="1"/>
    <xf numFmtId="0" fontId="21" fillId="7" borderId="94" xfId="0" applyFont="1" applyFill="1" applyBorder="1"/>
    <xf numFmtId="9" fontId="21" fillId="7" borderId="95" xfId="1" applyFont="1" applyFill="1" applyBorder="1" applyAlignment="1">
      <alignment horizontal="center"/>
    </xf>
    <xf numFmtId="9" fontId="21" fillId="7" borderId="95" xfId="0" applyNumberFormat="1" applyFont="1" applyFill="1" applyBorder="1" applyAlignment="1">
      <alignment horizontal="center"/>
    </xf>
    <xf numFmtId="9" fontId="21" fillId="7" borderId="96" xfId="0" applyNumberFormat="1" applyFont="1" applyFill="1" applyBorder="1" applyAlignment="1">
      <alignment horizontal="center"/>
    </xf>
    <xf numFmtId="2" fontId="21" fillId="7" borderId="95" xfId="0" applyNumberFormat="1" applyFont="1" applyFill="1" applyBorder="1" applyAlignment="1">
      <alignment horizontal="center"/>
    </xf>
    <xf numFmtId="44" fontId="21" fillId="7" borderId="97" xfId="4" applyFont="1" applyFill="1" applyBorder="1" applyAlignment="1">
      <alignment horizontal="center"/>
    </xf>
    <xf numFmtId="0" fontId="21" fillId="7" borderId="98" xfId="0" applyFont="1" applyFill="1" applyBorder="1"/>
    <xf numFmtId="9" fontId="21" fillId="7" borderId="2" xfId="1" applyFont="1" applyFill="1" applyBorder="1" applyAlignment="1">
      <alignment horizontal="center"/>
    </xf>
    <xf numFmtId="9" fontId="21" fillId="7" borderId="2" xfId="0" applyNumberFormat="1" applyFont="1" applyFill="1" applyBorder="1" applyAlignment="1">
      <alignment horizontal="center"/>
    </xf>
    <xf numFmtId="9" fontId="21" fillId="7" borderId="32" xfId="0" applyNumberFormat="1" applyFont="1" applyFill="1" applyBorder="1" applyAlignment="1">
      <alignment horizontal="center"/>
    </xf>
    <xf numFmtId="2" fontId="21" fillId="7" borderId="7" xfId="0" applyNumberFormat="1" applyFont="1" applyFill="1" applyBorder="1" applyAlignment="1">
      <alignment horizontal="center"/>
    </xf>
    <xf numFmtId="44" fontId="21" fillId="7" borderId="99" xfId="4" applyFont="1" applyFill="1" applyBorder="1" applyAlignment="1">
      <alignment horizontal="center"/>
    </xf>
    <xf numFmtId="0" fontId="21" fillId="7" borderId="2" xfId="0" applyFont="1" applyFill="1" applyBorder="1" applyAlignment="1">
      <alignment horizontal="center"/>
    </xf>
    <xf numFmtId="0" fontId="21" fillId="7" borderId="32" xfId="0" applyFont="1" applyFill="1" applyBorder="1" applyAlignment="1">
      <alignment horizontal="center"/>
    </xf>
    <xf numFmtId="0" fontId="21" fillId="7" borderId="2" xfId="0" applyFont="1" applyFill="1" applyBorder="1"/>
    <xf numFmtId="0" fontId="21" fillId="7" borderId="32" xfId="0" applyFont="1" applyFill="1" applyBorder="1"/>
    <xf numFmtId="0" fontId="21" fillId="7" borderId="100" xfId="0" applyFont="1" applyFill="1" applyBorder="1"/>
    <xf numFmtId="9" fontId="21" fillId="7" borderId="101" xfId="1" applyFont="1" applyFill="1" applyBorder="1" applyAlignment="1">
      <alignment horizontal="center"/>
    </xf>
    <xf numFmtId="0" fontId="21" fillId="7" borderId="101" xfId="0" applyFont="1" applyFill="1" applyBorder="1"/>
    <xf numFmtId="0" fontId="21" fillId="7" borderId="102" xfId="0" applyFont="1" applyFill="1" applyBorder="1"/>
    <xf numFmtId="2" fontId="21" fillId="7" borderId="103" xfId="0" applyNumberFormat="1" applyFont="1" applyFill="1" applyBorder="1" applyAlignment="1">
      <alignment horizontal="center"/>
    </xf>
    <xf numFmtId="44" fontId="21" fillId="7" borderId="104" xfId="4" applyFont="1" applyFill="1" applyBorder="1" applyAlignment="1">
      <alignment horizontal="center"/>
    </xf>
    <xf numFmtId="0" fontId="21" fillId="7" borderId="22" xfId="0" applyFont="1" applyFill="1" applyBorder="1"/>
    <xf numFmtId="0" fontId="21" fillId="7" borderId="11" xfId="0" applyFont="1" applyFill="1" applyBorder="1"/>
    <xf numFmtId="0" fontId="21" fillId="7" borderId="12" xfId="0" applyFont="1" applyFill="1" applyBorder="1"/>
    <xf numFmtId="0" fontId="21" fillId="7" borderId="105" xfId="0" applyFont="1" applyFill="1" applyBorder="1"/>
    <xf numFmtId="0" fontId="21" fillId="7" borderId="49" xfId="0" applyFont="1" applyFill="1" applyBorder="1"/>
    <xf numFmtId="0" fontId="21" fillId="7" borderId="50" xfId="0" applyFont="1" applyFill="1" applyBorder="1"/>
    <xf numFmtId="0" fontId="21" fillId="7" borderId="19" xfId="0" applyFont="1" applyFill="1" applyBorder="1"/>
    <xf numFmtId="0" fontId="21" fillId="7" borderId="108" xfId="0" applyFont="1" applyFill="1" applyBorder="1"/>
    <xf numFmtId="0" fontId="21" fillId="7" borderId="97" xfId="0" applyFont="1" applyFill="1" applyBorder="1"/>
    <xf numFmtId="0" fontId="21" fillId="7" borderId="109" xfId="0" applyFont="1" applyFill="1" applyBorder="1"/>
    <xf numFmtId="0" fontId="21" fillId="7" borderId="110" xfId="0" applyFont="1" applyFill="1" applyBorder="1"/>
    <xf numFmtId="0" fontId="21" fillId="7" borderId="111" xfId="0" applyFont="1" applyFill="1" applyBorder="1"/>
    <xf numFmtId="0" fontId="21" fillId="7" borderId="112" xfId="0" applyFont="1" applyFill="1" applyBorder="1"/>
    <xf numFmtId="0" fontId="30" fillId="0" borderId="0" xfId="0" applyFont="1"/>
    <xf numFmtId="0" fontId="32" fillId="2" borderId="0" xfId="0" applyFont="1" applyFill="1"/>
    <xf numFmtId="0" fontId="33" fillId="2" borderId="0" xfId="0" applyFont="1" applyFill="1"/>
    <xf numFmtId="0" fontId="27" fillId="0" borderId="0" xfId="0" applyFont="1"/>
    <xf numFmtId="173" fontId="21" fillId="7" borderId="56" xfId="0" applyNumberFormat="1" applyFont="1" applyFill="1" applyBorder="1" applyAlignment="1">
      <alignment horizontal="center"/>
    </xf>
    <xf numFmtId="0" fontId="6" fillId="0" borderId="0" xfId="0" applyFont="1" applyAlignment="1">
      <alignment vertical="center" wrapText="1"/>
    </xf>
    <xf numFmtId="0" fontId="8" fillId="0" borderId="0" xfId="0" applyFont="1" applyAlignment="1">
      <alignment vertical="center" wrapText="1"/>
    </xf>
    <xf numFmtId="15" fontId="6" fillId="0" borderId="0" xfId="0" applyNumberFormat="1" applyFont="1" applyAlignment="1">
      <alignment horizontal="left" vertical="center" wrapText="1"/>
    </xf>
    <xf numFmtId="0" fontId="6" fillId="0" borderId="0" xfId="0" applyFont="1" applyAlignment="1">
      <alignment horizontal="left" vertical="center" wrapText="1"/>
    </xf>
    <xf numFmtId="0" fontId="13" fillId="0" borderId="0" xfId="0" applyFont="1" applyAlignment="1">
      <alignment vertical="center" wrapText="1"/>
    </xf>
    <xf numFmtId="0" fontId="3" fillId="0" borderId="0" xfId="3" applyAlignment="1">
      <alignment vertical="center" wrapText="1"/>
    </xf>
    <xf numFmtId="0" fontId="6" fillId="0" borderId="0" xfId="0" applyFont="1" applyAlignment="1">
      <alignment vertical="top" wrapText="1"/>
    </xf>
    <xf numFmtId="0" fontId="6" fillId="0" borderId="0" xfId="0" applyFont="1" applyAlignment="1">
      <alignment horizontal="left" vertical="top" wrapText="1"/>
    </xf>
    <xf numFmtId="0" fontId="8" fillId="0" borderId="0" xfId="0" applyFont="1" applyAlignment="1">
      <alignment vertical="top" wrapText="1"/>
    </xf>
    <xf numFmtId="0" fontId="34" fillId="0" borderId="0" xfId="3" applyFont="1" applyAlignment="1">
      <alignment wrapText="1"/>
    </xf>
    <xf numFmtId="0" fontId="35" fillId="0" borderId="0" xfId="0" applyFont="1" applyAlignment="1">
      <alignment wrapText="1"/>
    </xf>
    <xf numFmtId="0" fontId="27" fillId="0" borderId="0" xfId="0" applyFont="1" applyAlignment="1">
      <alignment wrapText="1"/>
    </xf>
    <xf numFmtId="0" fontId="0" fillId="0" borderId="0" xfId="0" applyAlignment="1">
      <alignment wrapText="1"/>
    </xf>
    <xf numFmtId="0" fontId="21" fillId="0" borderId="0" xfId="0" applyFont="1" applyAlignment="1">
      <alignment horizontal="left" wrapText="1"/>
    </xf>
    <xf numFmtId="0" fontId="0" fillId="0" borderId="0" xfId="0" applyAlignment="1">
      <alignment horizontal="left" wrapText="1"/>
    </xf>
    <xf numFmtId="0" fontId="21" fillId="0" borderId="0" xfId="0" applyFont="1" applyAlignment="1">
      <alignment wrapText="1"/>
    </xf>
    <xf numFmtId="0" fontId="22" fillId="7" borderId="113" xfId="0" applyFont="1" applyFill="1" applyBorder="1" applyAlignment="1">
      <alignment vertical="top" wrapText="1"/>
    </xf>
    <xf numFmtId="0" fontId="25" fillId="7" borderId="114" xfId="0" applyFont="1" applyFill="1" applyBorder="1" applyAlignment="1">
      <alignment vertical="top" wrapText="1"/>
    </xf>
    <xf numFmtId="0" fontId="25" fillId="7" borderId="3" xfId="0" applyFont="1" applyFill="1" applyBorder="1" applyAlignment="1">
      <alignment vertical="top" wrapText="1"/>
    </xf>
    <xf numFmtId="0" fontId="25" fillId="7" borderId="115" xfId="0" applyFont="1" applyFill="1" applyBorder="1" applyAlignment="1">
      <alignment vertical="top" wrapText="1"/>
    </xf>
    <xf numFmtId="0" fontId="25" fillId="7" borderId="0" xfId="0" applyFont="1" applyFill="1" applyAlignment="1">
      <alignment vertical="top" wrapText="1"/>
    </xf>
    <xf numFmtId="0" fontId="25" fillId="7" borderId="116" xfId="0" applyFont="1" applyFill="1" applyBorder="1" applyAlignment="1">
      <alignment vertical="top" wrapText="1"/>
    </xf>
    <xf numFmtId="0" fontId="0" fillId="0" borderId="115" xfId="0" applyBorder="1" applyAlignment="1">
      <alignment vertical="top" wrapText="1"/>
    </xf>
    <xf numFmtId="0" fontId="0" fillId="0" borderId="0" xfId="0" applyAlignment="1">
      <alignment vertical="top" wrapText="1"/>
    </xf>
    <xf numFmtId="0" fontId="0" fillId="0" borderId="116" xfId="0" applyBorder="1" applyAlignment="1">
      <alignment vertical="top" wrapText="1"/>
    </xf>
    <xf numFmtId="0" fontId="0" fillId="0" borderId="15" xfId="0" applyBorder="1" applyAlignment="1">
      <alignment vertical="top" wrapText="1"/>
    </xf>
    <xf numFmtId="0" fontId="0" fillId="0" borderId="14" xfId="0" applyBorder="1" applyAlignment="1">
      <alignment vertical="top" wrapText="1"/>
    </xf>
    <xf numFmtId="0" fontId="0" fillId="0" borderId="13" xfId="0" applyBorder="1" applyAlignment="1">
      <alignment vertical="top" wrapText="1"/>
    </xf>
    <xf numFmtId="0" fontId="22" fillId="8" borderId="0" xfId="0" applyFont="1" applyFill="1" applyAlignment="1">
      <alignment horizontal="center"/>
    </xf>
    <xf numFmtId="0" fontId="22" fillId="8" borderId="72" xfId="0" applyFont="1" applyFill="1" applyBorder="1" applyAlignment="1">
      <alignment horizontal="center"/>
    </xf>
    <xf numFmtId="0" fontId="22" fillId="8" borderId="44" xfId="0" applyFont="1" applyFill="1" applyBorder="1" applyAlignment="1">
      <alignment horizontal="center" vertical="top" wrapText="1"/>
    </xf>
    <xf numFmtId="0" fontId="21" fillId="8" borderId="72" xfId="0" applyFont="1" applyFill="1" applyBorder="1" applyAlignment="1">
      <alignment horizontal="center" vertical="top" wrapText="1"/>
    </xf>
    <xf numFmtId="0" fontId="22" fillId="8" borderId="0" xfId="0" applyFont="1" applyFill="1" applyAlignment="1">
      <alignment horizontal="center" wrapText="1"/>
    </xf>
    <xf numFmtId="0" fontId="21" fillId="8" borderId="72" xfId="0" applyFont="1" applyFill="1" applyBorder="1" applyAlignment="1">
      <alignment horizontal="center" wrapText="1"/>
    </xf>
    <xf numFmtId="0" fontId="22" fillId="8" borderId="43" xfId="0" applyFont="1" applyFill="1" applyBorder="1" applyAlignment="1">
      <alignment horizontal="center"/>
    </xf>
    <xf numFmtId="0" fontId="21" fillId="8" borderId="45" xfId="0" applyFont="1" applyFill="1" applyBorder="1" applyAlignment="1">
      <alignment horizontal="center"/>
    </xf>
    <xf numFmtId="0" fontId="22" fillId="8" borderId="62" xfId="0" applyFont="1" applyFill="1" applyBorder="1"/>
    <xf numFmtId="0" fontId="25" fillId="8" borderId="87" xfId="0" applyFont="1" applyFill="1" applyBorder="1"/>
    <xf numFmtId="49" fontId="21" fillId="0" borderId="91" xfId="0" applyNumberFormat="1" applyFont="1" applyBorder="1" applyAlignment="1" applyProtection="1">
      <alignment vertical="center"/>
      <protection locked="0"/>
    </xf>
    <xf numFmtId="49" fontId="24" fillId="0" borderId="92" xfId="0" applyNumberFormat="1" applyFont="1" applyBorder="1" applyAlignment="1" applyProtection="1">
      <alignment vertical="center"/>
      <protection locked="0"/>
    </xf>
    <xf numFmtId="49" fontId="24" fillId="0" borderId="93" xfId="0" applyNumberFormat="1" applyFont="1" applyBorder="1" applyAlignment="1" applyProtection="1">
      <alignment vertical="center"/>
      <protection locked="0"/>
    </xf>
    <xf numFmtId="49" fontId="21" fillId="0" borderId="54" xfId="0" applyNumberFormat="1" applyFont="1" applyBorder="1" applyAlignment="1" applyProtection="1">
      <alignment vertical="top" wrapText="1"/>
      <protection locked="0"/>
    </xf>
    <xf numFmtId="49" fontId="24" fillId="0" borderId="60" xfId="0" applyNumberFormat="1" applyFont="1" applyBorder="1" applyAlignment="1" applyProtection="1">
      <alignment vertical="top" wrapText="1"/>
      <protection locked="0"/>
    </xf>
    <xf numFmtId="49" fontId="24" fillId="0" borderId="55" xfId="0" applyNumberFormat="1" applyFont="1" applyBorder="1" applyAlignment="1" applyProtection="1">
      <alignment vertical="top" wrapText="1"/>
      <protection locked="0"/>
    </xf>
    <xf numFmtId="49" fontId="24" fillId="0" borderId="56" xfId="0" applyNumberFormat="1" applyFont="1" applyBorder="1" applyAlignment="1" applyProtection="1">
      <alignment vertical="top" wrapText="1"/>
      <protection locked="0"/>
    </xf>
    <xf numFmtId="49" fontId="24" fillId="0" borderId="41" xfId="0" applyNumberFormat="1" applyFont="1" applyBorder="1" applyAlignment="1" applyProtection="1">
      <alignment vertical="top" wrapText="1"/>
      <protection locked="0"/>
    </xf>
    <xf numFmtId="49" fontId="24" fillId="0" borderId="57" xfId="0" applyNumberFormat="1" applyFont="1" applyBorder="1" applyAlignment="1" applyProtection="1">
      <alignment vertical="top" wrapText="1"/>
      <protection locked="0"/>
    </xf>
    <xf numFmtId="49" fontId="24" fillId="0" borderId="58" xfId="0" applyNumberFormat="1" applyFont="1" applyBorder="1" applyAlignment="1" applyProtection="1">
      <alignment vertical="top" wrapText="1"/>
      <protection locked="0"/>
    </xf>
    <xf numFmtId="49" fontId="24" fillId="0" borderId="61" xfId="0" applyNumberFormat="1" applyFont="1" applyBorder="1" applyAlignment="1" applyProtection="1">
      <alignment vertical="top" wrapText="1"/>
      <protection locked="0"/>
    </xf>
    <xf numFmtId="49" fontId="24" fillId="0" borderId="59" xfId="0" applyNumberFormat="1" applyFont="1" applyBorder="1" applyAlignment="1" applyProtection="1">
      <alignment vertical="top" wrapText="1"/>
      <protection locked="0"/>
    </xf>
    <xf numFmtId="0" fontId="28" fillId="8" borderId="62" xfId="0" applyFont="1" applyFill="1" applyBorder="1" applyAlignment="1">
      <alignment vertical="top"/>
    </xf>
    <xf numFmtId="0" fontId="24" fillId="8" borderId="63" xfId="0" applyFont="1" applyFill="1" applyBorder="1" applyAlignment="1">
      <alignment vertical="top"/>
    </xf>
    <xf numFmtId="0" fontId="24" fillId="8" borderId="87" xfId="0" applyFont="1" applyFill="1" applyBorder="1" applyAlignment="1">
      <alignment vertical="top"/>
    </xf>
    <xf numFmtId="49" fontId="21" fillId="2" borderId="91" xfId="0" applyNumberFormat="1" applyFont="1" applyFill="1" applyBorder="1" applyAlignment="1" applyProtection="1">
      <alignment horizontal="left" vertical="center"/>
      <protection locked="0"/>
    </xf>
    <xf numFmtId="49" fontId="24" fillId="0" borderId="92" xfId="0" applyNumberFormat="1" applyFont="1" applyBorder="1" applyAlignment="1" applyProtection="1">
      <alignment horizontal="left" vertical="center"/>
      <protection locked="0"/>
    </xf>
    <xf numFmtId="49" fontId="24" fillId="0" borderId="93" xfId="0" applyNumberFormat="1" applyFont="1" applyBorder="1" applyAlignment="1" applyProtection="1">
      <alignment horizontal="left" vertical="center"/>
      <protection locked="0"/>
    </xf>
    <xf numFmtId="0" fontId="22" fillId="8" borderId="44" xfId="0" applyFont="1" applyFill="1" applyBorder="1" applyAlignment="1">
      <alignment horizontal="center"/>
    </xf>
    <xf numFmtId="0" fontId="21" fillId="8" borderId="44" xfId="0" applyFont="1" applyFill="1" applyBorder="1" applyAlignment="1">
      <alignment horizontal="center"/>
    </xf>
    <xf numFmtId="167" fontId="22" fillId="7" borderId="14" xfId="2" applyNumberFormat="1" applyFont="1" applyFill="1" applyBorder="1" applyAlignment="1" applyProtection="1">
      <alignment horizontal="center"/>
    </xf>
    <xf numFmtId="167" fontId="22" fillId="7" borderId="13" xfId="2" applyNumberFormat="1" applyFont="1" applyFill="1" applyBorder="1" applyAlignment="1" applyProtection="1">
      <alignment horizontal="center"/>
    </xf>
    <xf numFmtId="0" fontId="22" fillId="7" borderId="91" xfId="0" applyFont="1" applyFill="1" applyBorder="1" applyAlignment="1">
      <alignment horizontal="center" vertical="center"/>
    </xf>
    <xf numFmtId="0" fontId="24" fillId="7" borderId="92" xfId="0" applyFont="1" applyFill="1" applyBorder="1" applyAlignment="1">
      <alignment vertical="center"/>
    </xf>
    <xf numFmtId="0" fontId="24" fillId="7" borderId="93" xfId="0" applyFont="1" applyFill="1" applyBorder="1" applyAlignment="1">
      <alignment vertical="center"/>
    </xf>
    <xf numFmtId="0" fontId="22" fillId="8" borderId="43" xfId="0" applyFont="1" applyFill="1" applyBorder="1" applyAlignment="1">
      <alignment horizontal="center" vertical="top"/>
    </xf>
    <xf numFmtId="0" fontId="22" fillId="8" borderId="71" xfId="0" applyFont="1" applyFill="1" applyBorder="1" applyAlignment="1">
      <alignment horizontal="center" vertical="top"/>
    </xf>
    <xf numFmtId="0" fontId="22" fillId="8" borderId="46" xfId="0" applyFont="1" applyFill="1" applyBorder="1" applyAlignment="1">
      <alignment horizontal="center"/>
    </xf>
    <xf numFmtId="0" fontId="22" fillId="8" borderId="71" xfId="0" applyFont="1" applyFill="1" applyBorder="1" applyAlignment="1">
      <alignment horizontal="center"/>
    </xf>
    <xf numFmtId="0" fontId="22" fillId="8" borderId="74" xfId="0" applyFont="1" applyFill="1" applyBorder="1" applyAlignment="1">
      <alignment horizontal="center"/>
    </xf>
    <xf numFmtId="0" fontId="22" fillId="8" borderId="75" xfId="0" applyFont="1" applyFill="1" applyBorder="1" applyAlignment="1">
      <alignment horizontal="center"/>
    </xf>
    <xf numFmtId="0" fontId="22" fillId="8" borderId="77" xfId="0" applyFont="1" applyFill="1" applyBorder="1" applyAlignment="1">
      <alignment horizontal="center"/>
    </xf>
    <xf numFmtId="0" fontId="22" fillId="8" borderId="81" xfId="0" applyFont="1" applyFill="1" applyBorder="1" applyAlignment="1">
      <alignment horizontal="center"/>
    </xf>
    <xf numFmtId="0" fontId="22" fillId="8" borderId="83" xfId="0" applyFont="1" applyFill="1" applyBorder="1" applyAlignment="1">
      <alignment horizontal="center"/>
    </xf>
    <xf numFmtId="0" fontId="22" fillId="8" borderId="74" xfId="0" applyFont="1" applyFill="1" applyBorder="1" applyAlignment="1" applyProtection="1">
      <alignment horizontal="center"/>
      <protection locked="0"/>
    </xf>
    <xf numFmtId="0" fontId="22" fillId="8" borderId="75" xfId="0" applyFont="1" applyFill="1" applyBorder="1" applyAlignment="1" applyProtection="1">
      <alignment horizontal="center"/>
      <protection locked="0"/>
    </xf>
    <xf numFmtId="0" fontId="22" fillId="8" borderId="78" xfId="0" applyFont="1" applyFill="1" applyBorder="1" applyAlignment="1">
      <alignment horizontal="center"/>
    </xf>
    <xf numFmtId="0" fontId="21" fillId="8" borderId="79" xfId="0" applyFont="1" applyFill="1" applyBorder="1" applyAlignment="1">
      <alignment horizontal="center"/>
    </xf>
    <xf numFmtId="0" fontId="22" fillId="8" borderId="62" xfId="0" applyFont="1" applyFill="1" applyBorder="1" applyAlignment="1">
      <alignment horizontal="center" vertical="top" wrapText="1"/>
    </xf>
    <xf numFmtId="0" fontId="21" fillId="8" borderId="63" xfId="0" applyFont="1" applyFill="1" applyBorder="1" applyAlignment="1">
      <alignment horizontal="center" vertical="top" wrapText="1"/>
    </xf>
    <xf numFmtId="0" fontId="21" fillId="8" borderId="87" xfId="0" applyFont="1" applyFill="1" applyBorder="1" applyAlignment="1">
      <alignment horizontal="center" vertical="top" wrapText="1"/>
    </xf>
    <xf numFmtId="0" fontId="22" fillId="8" borderId="46" xfId="0" applyFont="1" applyFill="1" applyBorder="1" applyAlignment="1">
      <alignment horizontal="center" wrapText="1"/>
    </xf>
    <xf numFmtId="0" fontId="21" fillId="8" borderId="46" xfId="0" applyFont="1" applyFill="1" applyBorder="1" applyAlignment="1">
      <alignment horizontal="center" wrapText="1"/>
    </xf>
    <xf numFmtId="0" fontId="21" fillId="8" borderId="0" xfId="0" applyFont="1" applyFill="1" applyAlignment="1">
      <alignment horizontal="center" wrapText="1"/>
    </xf>
    <xf numFmtId="0" fontId="22" fillId="8" borderId="47" xfId="0" applyFont="1" applyFill="1" applyBorder="1" applyAlignment="1">
      <alignment horizontal="center" wrapText="1"/>
    </xf>
    <xf numFmtId="0" fontId="21" fillId="8" borderId="47" xfId="0" applyFont="1" applyFill="1" applyBorder="1" applyAlignment="1">
      <alignment horizontal="center" wrapText="1"/>
    </xf>
    <xf numFmtId="0" fontId="22" fillId="8" borderId="45" xfId="0" applyFont="1" applyFill="1" applyBorder="1" applyAlignment="1">
      <alignment horizontal="center" vertical="center" wrapText="1"/>
    </xf>
    <xf numFmtId="0" fontId="22" fillId="8" borderId="47" xfId="0" applyFont="1" applyFill="1" applyBorder="1" applyAlignment="1">
      <alignment vertical="center" wrapText="1"/>
    </xf>
    <xf numFmtId="0" fontId="22" fillId="8" borderId="47" xfId="0" applyFont="1" applyFill="1" applyBorder="1" applyAlignment="1">
      <alignment horizontal="center"/>
    </xf>
    <xf numFmtId="0" fontId="22" fillId="8" borderId="73" xfId="0" applyFont="1" applyFill="1" applyBorder="1" applyAlignment="1">
      <alignment horizontal="center"/>
    </xf>
    <xf numFmtId="10" fontId="22" fillId="8" borderId="62" xfId="0" applyNumberFormat="1" applyFont="1" applyFill="1" applyBorder="1" applyAlignment="1">
      <alignment horizontal="center" vertical="center" wrapText="1"/>
    </xf>
    <xf numFmtId="10" fontId="22" fillId="8" borderId="63" xfId="0" applyNumberFormat="1" applyFont="1" applyFill="1" applyBorder="1" applyAlignment="1">
      <alignment horizontal="center" vertical="center" wrapText="1"/>
    </xf>
    <xf numFmtId="0" fontId="20" fillId="6" borderId="29" xfId="0" applyFont="1" applyFill="1" applyBorder="1" applyAlignment="1">
      <alignment wrapText="1"/>
    </xf>
    <xf numFmtId="0" fontId="20" fillId="6" borderId="30" xfId="0" applyFont="1" applyFill="1" applyBorder="1" applyAlignment="1">
      <alignment wrapText="1"/>
    </xf>
    <xf numFmtId="0" fontId="20" fillId="6" borderId="64" xfId="0" applyFont="1" applyFill="1" applyBorder="1" applyAlignment="1">
      <alignment wrapText="1"/>
    </xf>
    <xf numFmtId="0" fontId="20" fillId="6" borderId="4" xfId="0" applyFont="1" applyFill="1" applyBorder="1" applyAlignment="1">
      <alignment horizontal="center" wrapText="1"/>
    </xf>
    <xf numFmtId="0" fontId="20" fillId="6" borderId="2" xfId="0" applyFont="1" applyFill="1" applyBorder="1" applyAlignment="1">
      <alignment horizontal="center" wrapText="1"/>
    </xf>
    <xf numFmtId="0" fontId="20" fillId="6" borderId="28" xfId="0" applyFont="1" applyFill="1" applyBorder="1" applyAlignment="1">
      <alignment horizontal="center" wrapText="1"/>
    </xf>
    <xf numFmtId="0" fontId="20" fillId="6" borderId="24" xfId="0" applyFont="1" applyFill="1" applyBorder="1" applyAlignment="1">
      <alignment horizontal="center" wrapText="1"/>
    </xf>
    <xf numFmtId="0" fontId="20" fillId="6" borderId="9" xfId="0" applyFont="1" applyFill="1" applyBorder="1" applyAlignment="1">
      <alignment horizontal="center" wrapText="1"/>
    </xf>
    <xf numFmtId="0" fontId="20" fillId="6" borderId="37" xfId="0" applyFont="1" applyFill="1" applyBorder="1" applyAlignment="1">
      <alignment horizontal="center" wrapText="1"/>
    </xf>
    <xf numFmtId="0" fontId="22" fillId="8" borderId="71" xfId="0" applyFont="1" applyFill="1" applyBorder="1" applyAlignment="1">
      <alignment horizontal="center" wrapText="1"/>
    </xf>
    <xf numFmtId="44" fontId="21" fillId="7" borderId="88" xfId="4" applyNumberFormat="1" applyFont="1" applyFill="1" applyBorder="1" applyAlignment="1" applyProtection="1">
      <alignment horizontal="center"/>
    </xf>
    <xf numFmtId="44" fontId="21" fillId="7" borderId="89" xfId="4" applyNumberFormat="1" applyFont="1" applyFill="1" applyBorder="1" applyAlignment="1" applyProtection="1">
      <alignment horizontal="center"/>
    </xf>
    <xf numFmtId="44" fontId="21" fillId="7" borderId="89" xfId="4" applyNumberFormat="1" applyFont="1" applyFill="1" applyBorder="1" applyAlignment="1" applyProtection="1">
      <alignment horizontal="center" vertical="center"/>
    </xf>
    <xf numFmtId="44" fontId="21" fillId="7" borderId="89" xfId="4" applyNumberFormat="1" applyFont="1" applyFill="1" applyBorder="1" applyProtection="1"/>
  </cellXfs>
  <cellStyles count="5">
    <cellStyle name="Comma" xfId="2" builtinId="3"/>
    <cellStyle name="Currency" xfId="4" builtinId="4"/>
    <cellStyle name="Hyperlink" xfId="3" builtinId="8"/>
    <cellStyle name="Normal" xfId="0" builtinId="0"/>
    <cellStyle name="Percent" xfId="1" builtinId="5"/>
  </cellStyles>
  <dxfs count="1">
    <dxf>
      <font>
        <color theme="4" tint="0.79998168889431442"/>
      </font>
      <fill>
        <patternFill>
          <bgColor theme="4" tint="0.79998168889431442"/>
        </patternFill>
      </fill>
    </dxf>
  </dxfs>
  <tableStyles count="0" defaultTableStyle="TableStyleMedium2" defaultPivotStyle="PivotStyleLight16"/>
  <colors>
    <mruColors>
      <color rgb="FFDECDFF"/>
      <color rgb="FF2B2869"/>
      <color rgb="FFBD9CFF"/>
      <color rgb="FFB4C7E8"/>
      <color rgb="FFB5C7E8"/>
      <color rgb="FF006D86"/>
      <color rgb="FF9184BE"/>
      <color rgb="FF7D6EB1"/>
      <color rgb="FFED5627"/>
      <color rgb="FF0959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calcChain" Target="calcChain.xml"/><Relationship Id="rId5" Type="http://schemas.openxmlformats.org/officeDocument/2006/relationships/chartsheet" Target="chartsheets/sheet2.xml"/><Relationship Id="rId10" Type="http://schemas.openxmlformats.org/officeDocument/2006/relationships/sharedStrings" Target="sharedStrings.xml"/><Relationship Id="rId4" Type="http://schemas.openxmlformats.org/officeDocument/2006/relationships/chartsheet" Target="chartsheets/sheet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25400">
              <a:solidFill>
                <a:srgbClr val="006D86"/>
              </a:solidFill>
            </a:ln>
          </c:spPr>
          <c:dPt>
            <c:idx val="0"/>
            <c:bubble3D val="0"/>
            <c:spPr>
              <a:solidFill>
                <a:srgbClr val="006D86"/>
              </a:solidFill>
              <a:ln w="25400">
                <a:solidFill>
                  <a:srgbClr val="006D86"/>
                </a:solidFill>
              </a:ln>
              <a:effectLst/>
            </c:spPr>
            <c:extLst>
              <c:ext xmlns:c16="http://schemas.microsoft.com/office/drawing/2014/chart" uri="{C3380CC4-5D6E-409C-BE32-E72D297353CC}">
                <c16:uniqueId val="{00000001-6CE9-B14B-AF54-9F622255F794}"/>
              </c:ext>
            </c:extLst>
          </c:dPt>
          <c:dPt>
            <c:idx val="1"/>
            <c:bubble3D val="0"/>
            <c:spPr>
              <a:solidFill>
                <a:schemeClr val="bg1"/>
              </a:solidFill>
              <a:ln w="25400">
                <a:solidFill>
                  <a:srgbClr val="006D86"/>
                </a:solidFill>
              </a:ln>
              <a:effectLst/>
            </c:spPr>
            <c:extLst>
              <c:ext xmlns:c16="http://schemas.microsoft.com/office/drawing/2014/chart" uri="{C3380CC4-5D6E-409C-BE32-E72D297353CC}">
                <c16:uniqueId val="{00000003-6CE9-B14B-AF54-9F622255F794}"/>
              </c:ext>
            </c:extLst>
          </c:dPt>
          <c:val>
            <c:numRef>
              <c:f>'MCI Calculator'!$R$42:$R$43</c:f>
              <c:numCache>
                <c:formatCode>General</c:formatCode>
                <c:ptCount val="2"/>
                <c:pt idx="0" formatCode="0.00">
                  <c:v>0.61030803571428571</c:v>
                </c:pt>
              </c:numCache>
            </c:numRef>
          </c:val>
          <c:extLst>
            <c:ext xmlns:c16="http://schemas.microsoft.com/office/drawing/2014/chart" uri="{C3380CC4-5D6E-409C-BE32-E72D297353CC}">
              <c16:uniqueId val="{00000004-6CE9-B14B-AF54-9F622255F79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'Hotspot Calcs'!$B$3</c:f>
              <c:strCache>
                <c:ptCount val="1"/>
                <c:pt idx="0">
                  <c:v>Foundation</c:v>
                </c:pt>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Calcs'!$I$3</c:f>
              <c:numCache>
                <c:formatCode>0%</c:formatCode>
                <c:ptCount val="1"/>
                <c:pt idx="0">
                  <c:v>0.52249999999999996</c:v>
                </c:pt>
              </c:numCache>
            </c:numRef>
          </c:xVal>
          <c:yVal>
            <c:numRef>
              <c:f>'Hotspot Calcs'!$F$3</c:f>
              <c:numCache>
                <c:formatCode>0%</c:formatCode>
                <c:ptCount val="1"/>
                <c:pt idx="0">
                  <c:v>7.4257425742574254E-3</c:v>
                </c:pt>
              </c:numCache>
            </c:numRef>
          </c:yVal>
          <c:smooth val="0"/>
          <c:extLst>
            <c:ext xmlns:c16="http://schemas.microsoft.com/office/drawing/2014/chart" uri="{C3380CC4-5D6E-409C-BE32-E72D297353CC}">
              <c16:uniqueId val="{00000000-5B2E-4E3A-A5C0-F224F774F9AD}"/>
            </c:ext>
          </c:extLst>
        </c:ser>
        <c:ser>
          <c:idx val="1"/>
          <c:order val="1"/>
          <c:tx>
            <c:strRef>
              <c:f>'Hotspot Calcs'!$B$4</c:f>
              <c:strCache>
                <c:ptCount val="1"/>
                <c:pt idx="0">
                  <c:v>Structural Columns</c:v>
                </c:pt>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Calcs'!$I$4</c:f>
              <c:numCache>
                <c:formatCode>0%</c:formatCode>
                <c:ptCount val="1"/>
                <c:pt idx="0">
                  <c:v>0.67500000000000004</c:v>
                </c:pt>
              </c:numCache>
            </c:numRef>
          </c:xVal>
          <c:yVal>
            <c:numRef>
              <c:f>'Hotspot Calcs'!$F$4</c:f>
              <c:numCache>
                <c:formatCode>0%</c:formatCode>
                <c:ptCount val="1"/>
                <c:pt idx="0">
                  <c:v>0.44554455445544555</c:v>
                </c:pt>
              </c:numCache>
            </c:numRef>
          </c:yVal>
          <c:smooth val="0"/>
          <c:extLst>
            <c:ext xmlns:c16="http://schemas.microsoft.com/office/drawing/2014/chart" uri="{C3380CC4-5D6E-409C-BE32-E72D297353CC}">
              <c16:uniqueId val="{00000001-5B2E-4E3A-A5C0-F224F774F9AD}"/>
            </c:ext>
          </c:extLst>
        </c:ser>
        <c:ser>
          <c:idx val="2"/>
          <c:order val="2"/>
          <c:tx>
            <c:strRef>
              <c:f>'Hotspot Calcs'!$B$5</c:f>
              <c:strCache>
                <c:ptCount val="1"/>
                <c:pt idx="0">
                  <c:v>Floor Beams</c:v>
                </c:pt>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Calcs'!$I$5</c:f>
              <c:numCache>
                <c:formatCode>0%</c:formatCode>
                <c:ptCount val="1"/>
                <c:pt idx="0">
                  <c:v>0.57499999999999996</c:v>
                </c:pt>
              </c:numCache>
            </c:numRef>
          </c:xVal>
          <c:yVal>
            <c:numRef>
              <c:f>'Hotspot Calcs'!$F$5</c:f>
              <c:numCache>
                <c:formatCode>0%</c:formatCode>
                <c:ptCount val="1"/>
                <c:pt idx="0">
                  <c:v>0.42772277227722771</c:v>
                </c:pt>
              </c:numCache>
            </c:numRef>
          </c:yVal>
          <c:smooth val="0"/>
          <c:extLst>
            <c:ext xmlns:c16="http://schemas.microsoft.com/office/drawing/2014/chart" uri="{C3380CC4-5D6E-409C-BE32-E72D297353CC}">
              <c16:uniqueId val="{00000002-5B2E-4E3A-A5C0-F224F774F9AD}"/>
            </c:ext>
          </c:extLst>
        </c:ser>
        <c:ser>
          <c:idx val="3"/>
          <c:order val="3"/>
          <c:tx>
            <c:strRef>
              <c:f>'Hotspot Calcs'!$B$6</c:f>
              <c:strCache>
                <c:ptCount val="1"/>
                <c:pt idx="0">
                  <c:v>Roof Beams</c:v>
                </c:pt>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Calcs'!$I$6</c:f>
              <c:numCache>
                <c:formatCode>0%</c:formatCode>
                <c:ptCount val="1"/>
                <c:pt idx="0">
                  <c:v>1</c:v>
                </c:pt>
              </c:numCache>
            </c:numRef>
          </c:xVal>
          <c:yVal>
            <c:numRef>
              <c:f>'Hotspot Calcs'!$F$6</c:f>
              <c:numCache>
                <c:formatCode>0%</c:formatCode>
                <c:ptCount val="1"/>
                <c:pt idx="0">
                  <c:v>2.2277227722772283E-2</c:v>
                </c:pt>
              </c:numCache>
            </c:numRef>
          </c:yVal>
          <c:smooth val="0"/>
          <c:extLst>
            <c:ext xmlns:c16="http://schemas.microsoft.com/office/drawing/2014/chart" uri="{C3380CC4-5D6E-409C-BE32-E72D297353CC}">
              <c16:uniqueId val="{00000003-5B2E-4E3A-A5C0-F224F774F9AD}"/>
            </c:ext>
          </c:extLst>
        </c:ser>
        <c:ser>
          <c:idx val="4"/>
          <c:order val="4"/>
          <c:tx>
            <c:strRef>
              <c:f>'Hotspot Calcs'!$B$7</c:f>
              <c:strCache>
                <c:ptCount val="1"/>
                <c:pt idx="0">
                  <c:v>External wall panels</c:v>
                </c:pt>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Calcs'!$I$7</c:f>
              <c:numCache>
                <c:formatCode>0%</c:formatCode>
                <c:ptCount val="1"/>
                <c:pt idx="0">
                  <c:v>4.4999999999999998E-2</c:v>
                </c:pt>
              </c:numCache>
            </c:numRef>
          </c:xVal>
          <c:yVal>
            <c:numRef>
              <c:f>'Hotspot Calcs'!$F$7</c:f>
              <c:numCache>
                <c:formatCode>0%</c:formatCode>
                <c:ptCount val="1"/>
                <c:pt idx="0">
                  <c:v>7.9207920792079209E-3</c:v>
                </c:pt>
              </c:numCache>
            </c:numRef>
          </c:yVal>
          <c:smooth val="0"/>
          <c:extLst>
            <c:ext xmlns:c16="http://schemas.microsoft.com/office/drawing/2014/chart" uri="{C3380CC4-5D6E-409C-BE32-E72D297353CC}">
              <c16:uniqueId val="{00000004-5B2E-4E3A-A5C0-F224F774F9AD}"/>
            </c:ext>
          </c:extLst>
        </c:ser>
        <c:ser>
          <c:idx val="5"/>
          <c:order val="5"/>
          <c:tx>
            <c:strRef>
              <c:f>'Hotspot Calcs'!$B$8</c:f>
              <c:strCache>
                <c:ptCount val="1"/>
                <c:pt idx="0">
                  <c:v>Internal wall panels</c:v>
                </c:pt>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Calcs'!$I$8</c:f>
              <c:numCache>
                <c:formatCode>0%</c:formatCode>
                <c:ptCount val="1"/>
                <c:pt idx="0">
                  <c:v>0.25</c:v>
                </c:pt>
              </c:numCache>
            </c:numRef>
          </c:xVal>
          <c:yVal>
            <c:numRef>
              <c:f>'Hotspot Calcs'!$F$8</c:f>
              <c:numCache>
                <c:formatCode>0%</c:formatCode>
                <c:ptCount val="1"/>
                <c:pt idx="0">
                  <c:v>2.3762376237623763E-2</c:v>
                </c:pt>
              </c:numCache>
            </c:numRef>
          </c:yVal>
          <c:smooth val="0"/>
          <c:extLst>
            <c:ext xmlns:c16="http://schemas.microsoft.com/office/drawing/2014/chart" uri="{C3380CC4-5D6E-409C-BE32-E72D297353CC}">
              <c16:uniqueId val="{00000005-5B2E-4E3A-A5C0-F224F774F9AD}"/>
            </c:ext>
          </c:extLst>
        </c:ser>
        <c:ser>
          <c:idx val="6"/>
          <c:order val="6"/>
          <c:tx>
            <c:strRef>
              <c:f>'Hotspot Calcs'!$B$9</c:f>
              <c:strCache>
                <c:ptCount val="1"/>
                <c:pt idx="0">
                  <c:v>Flooring Sheets</c:v>
                </c:pt>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Calcs'!$I$9</c:f>
              <c:numCache>
                <c:formatCode>0%</c:formatCode>
                <c:ptCount val="1"/>
                <c:pt idx="0">
                  <c:v>0.72499999999999998</c:v>
                </c:pt>
              </c:numCache>
            </c:numRef>
          </c:xVal>
          <c:yVal>
            <c:numRef>
              <c:f>'Hotspot Calcs'!$F$9</c:f>
              <c:numCache>
                <c:formatCode>0%</c:formatCode>
                <c:ptCount val="1"/>
                <c:pt idx="0">
                  <c:v>6.4356435643564358E-2</c:v>
                </c:pt>
              </c:numCache>
            </c:numRef>
          </c:yVal>
          <c:smooth val="0"/>
          <c:extLst>
            <c:ext xmlns:c16="http://schemas.microsoft.com/office/drawing/2014/chart" uri="{C3380CC4-5D6E-409C-BE32-E72D297353CC}">
              <c16:uniqueId val="{00000006-5B2E-4E3A-A5C0-F224F774F9AD}"/>
            </c:ext>
          </c:extLst>
        </c:ser>
        <c:ser>
          <c:idx val="7"/>
          <c:order val="7"/>
          <c:tx>
            <c:strRef>
              <c:f>'Hotspot Calcs'!$B$10</c:f>
              <c:strCache>
                <c:ptCount val="1"/>
                <c:pt idx="0">
                  <c:v>Roof Tiles</c:v>
                </c:pt>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Calcs'!$I$10</c:f>
              <c:numCache>
                <c:formatCode>0%</c:formatCode>
                <c:ptCount val="1"/>
                <c:pt idx="0">
                  <c:v>0.05</c:v>
                </c:pt>
              </c:numCache>
            </c:numRef>
          </c:xVal>
          <c:yVal>
            <c:numRef>
              <c:f>'Hotspot Calcs'!$F$10</c:f>
              <c:numCache>
                <c:formatCode>0%</c:formatCode>
                <c:ptCount val="1"/>
                <c:pt idx="0">
                  <c:v>9.9009900990099011E-4</c:v>
                </c:pt>
              </c:numCache>
            </c:numRef>
          </c:yVal>
          <c:smooth val="0"/>
          <c:extLst>
            <c:ext xmlns:c16="http://schemas.microsoft.com/office/drawing/2014/chart" uri="{C3380CC4-5D6E-409C-BE32-E72D297353CC}">
              <c16:uniqueId val="{00000007-5B2E-4E3A-A5C0-F224F774F9AD}"/>
            </c:ext>
          </c:extLst>
        </c:ser>
        <c:ser>
          <c:idx val="8"/>
          <c:order val="8"/>
          <c:tx>
            <c:strRef>
              <c:f>'Hotspot Calcs'!$B$11</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Calcs'!$I$11</c:f>
              <c:numCache>
                <c:formatCode>0%</c:formatCode>
                <c:ptCount val="1"/>
                <c:pt idx="0">
                  <c:v>-10</c:v>
                </c:pt>
              </c:numCache>
            </c:numRef>
          </c:xVal>
          <c:yVal>
            <c:numRef>
              <c:f>'Hotspot Calcs'!$F$11</c:f>
              <c:numCache>
                <c:formatCode>0%</c:formatCode>
                <c:ptCount val="1"/>
                <c:pt idx="0">
                  <c:v>0</c:v>
                </c:pt>
              </c:numCache>
            </c:numRef>
          </c:yVal>
          <c:smooth val="0"/>
          <c:extLst>
            <c:ext xmlns:c16="http://schemas.microsoft.com/office/drawing/2014/chart" uri="{C3380CC4-5D6E-409C-BE32-E72D297353CC}">
              <c16:uniqueId val="{00000008-5B2E-4E3A-A5C0-F224F774F9AD}"/>
            </c:ext>
          </c:extLst>
        </c:ser>
        <c:ser>
          <c:idx val="9"/>
          <c:order val="9"/>
          <c:tx>
            <c:strRef>
              <c:f>'Hotspot Calcs'!$B$12</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Calcs'!$I$12</c:f>
              <c:numCache>
                <c:formatCode>0%</c:formatCode>
                <c:ptCount val="1"/>
                <c:pt idx="0">
                  <c:v>-10</c:v>
                </c:pt>
              </c:numCache>
            </c:numRef>
          </c:xVal>
          <c:yVal>
            <c:numRef>
              <c:f>'Hotspot Calcs'!$F$12</c:f>
              <c:numCache>
                <c:formatCode>0%</c:formatCode>
                <c:ptCount val="1"/>
                <c:pt idx="0">
                  <c:v>0</c:v>
                </c:pt>
              </c:numCache>
            </c:numRef>
          </c:yVal>
          <c:smooth val="0"/>
          <c:extLst>
            <c:ext xmlns:c16="http://schemas.microsoft.com/office/drawing/2014/chart" uri="{C3380CC4-5D6E-409C-BE32-E72D297353CC}">
              <c16:uniqueId val="{00000009-5B2E-4E3A-A5C0-F224F774F9AD}"/>
            </c:ext>
          </c:extLst>
        </c:ser>
        <c:ser>
          <c:idx val="10"/>
          <c:order val="10"/>
          <c:tx>
            <c:strRef>
              <c:f>'Hotspot Calcs'!$B$13</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Calcs'!$I$13</c:f>
              <c:numCache>
                <c:formatCode>0%</c:formatCode>
                <c:ptCount val="1"/>
                <c:pt idx="0">
                  <c:v>-10</c:v>
                </c:pt>
              </c:numCache>
            </c:numRef>
          </c:xVal>
          <c:yVal>
            <c:numRef>
              <c:f>'Hotspot Calcs'!$F$13</c:f>
              <c:numCache>
                <c:formatCode>0%</c:formatCode>
                <c:ptCount val="1"/>
                <c:pt idx="0">
                  <c:v>0</c:v>
                </c:pt>
              </c:numCache>
            </c:numRef>
          </c:yVal>
          <c:smooth val="0"/>
          <c:extLst>
            <c:ext xmlns:c16="http://schemas.microsoft.com/office/drawing/2014/chart" uri="{C3380CC4-5D6E-409C-BE32-E72D297353CC}">
              <c16:uniqueId val="{0000000A-5B2E-4E3A-A5C0-F224F774F9AD}"/>
            </c:ext>
          </c:extLst>
        </c:ser>
        <c:ser>
          <c:idx val="11"/>
          <c:order val="11"/>
          <c:tx>
            <c:strRef>
              <c:f>'Hotspot Calcs'!$B$14</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Calcs'!$I$14</c:f>
              <c:numCache>
                <c:formatCode>0%</c:formatCode>
                <c:ptCount val="1"/>
                <c:pt idx="0">
                  <c:v>-10</c:v>
                </c:pt>
              </c:numCache>
            </c:numRef>
          </c:xVal>
          <c:yVal>
            <c:numRef>
              <c:f>'Hotspot Calcs'!$F$14</c:f>
              <c:numCache>
                <c:formatCode>0%</c:formatCode>
                <c:ptCount val="1"/>
                <c:pt idx="0">
                  <c:v>0</c:v>
                </c:pt>
              </c:numCache>
            </c:numRef>
          </c:yVal>
          <c:smooth val="0"/>
          <c:extLst>
            <c:ext xmlns:c16="http://schemas.microsoft.com/office/drawing/2014/chart" uri="{C3380CC4-5D6E-409C-BE32-E72D297353CC}">
              <c16:uniqueId val="{0000000B-5B2E-4E3A-A5C0-F224F774F9AD}"/>
            </c:ext>
          </c:extLst>
        </c:ser>
        <c:ser>
          <c:idx val="12"/>
          <c:order val="12"/>
          <c:tx>
            <c:strRef>
              <c:f>'Hotspot Calcs'!$B$15</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Calcs'!$I$15</c:f>
              <c:numCache>
                <c:formatCode>0%</c:formatCode>
                <c:ptCount val="1"/>
                <c:pt idx="0">
                  <c:v>-10</c:v>
                </c:pt>
              </c:numCache>
            </c:numRef>
          </c:xVal>
          <c:yVal>
            <c:numRef>
              <c:f>'Hotspot Calcs'!$F$15</c:f>
              <c:numCache>
                <c:formatCode>0%</c:formatCode>
                <c:ptCount val="1"/>
                <c:pt idx="0">
                  <c:v>0</c:v>
                </c:pt>
              </c:numCache>
            </c:numRef>
          </c:yVal>
          <c:smooth val="0"/>
          <c:extLst>
            <c:ext xmlns:c16="http://schemas.microsoft.com/office/drawing/2014/chart" uri="{C3380CC4-5D6E-409C-BE32-E72D297353CC}">
              <c16:uniqueId val="{0000000C-5B2E-4E3A-A5C0-F224F774F9AD}"/>
            </c:ext>
          </c:extLst>
        </c:ser>
        <c:ser>
          <c:idx val="13"/>
          <c:order val="13"/>
          <c:tx>
            <c:strRef>
              <c:f>'Hotspot Calcs'!$B$16</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Calcs'!$I$16</c:f>
              <c:numCache>
                <c:formatCode>0%</c:formatCode>
                <c:ptCount val="1"/>
                <c:pt idx="0">
                  <c:v>-10</c:v>
                </c:pt>
              </c:numCache>
            </c:numRef>
          </c:xVal>
          <c:yVal>
            <c:numRef>
              <c:f>'Hotspot Calcs'!$F$16</c:f>
              <c:numCache>
                <c:formatCode>0%</c:formatCode>
                <c:ptCount val="1"/>
                <c:pt idx="0">
                  <c:v>0</c:v>
                </c:pt>
              </c:numCache>
            </c:numRef>
          </c:yVal>
          <c:smooth val="0"/>
          <c:extLst>
            <c:ext xmlns:c16="http://schemas.microsoft.com/office/drawing/2014/chart" uri="{C3380CC4-5D6E-409C-BE32-E72D297353CC}">
              <c16:uniqueId val="{0000000D-5B2E-4E3A-A5C0-F224F774F9AD}"/>
            </c:ext>
          </c:extLst>
        </c:ser>
        <c:ser>
          <c:idx val="14"/>
          <c:order val="14"/>
          <c:tx>
            <c:strRef>
              <c:f>'Hotspot Calcs'!$B$17</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Calcs'!$I$17</c:f>
              <c:numCache>
                <c:formatCode>0%</c:formatCode>
                <c:ptCount val="1"/>
                <c:pt idx="0">
                  <c:v>-10</c:v>
                </c:pt>
              </c:numCache>
            </c:numRef>
          </c:xVal>
          <c:yVal>
            <c:numRef>
              <c:f>'Hotspot Calcs'!$F$17</c:f>
              <c:numCache>
                <c:formatCode>0%</c:formatCode>
                <c:ptCount val="1"/>
                <c:pt idx="0">
                  <c:v>0</c:v>
                </c:pt>
              </c:numCache>
            </c:numRef>
          </c:yVal>
          <c:smooth val="0"/>
          <c:extLst>
            <c:ext xmlns:c16="http://schemas.microsoft.com/office/drawing/2014/chart" uri="{C3380CC4-5D6E-409C-BE32-E72D297353CC}">
              <c16:uniqueId val="{0000000E-5B2E-4E3A-A5C0-F224F774F9AD}"/>
            </c:ext>
          </c:extLst>
        </c:ser>
        <c:ser>
          <c:idx val="15"/>
          <c:order val="15"/>
          <c:tx>
            <c:strRef>
              <c:f>'Hotspot Calcs'!$B$18</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Calcs'!$I$18</c:f>
              <c:numCache>
                <c:formatCode>0%</c:formatCode>
                <c:ptCount val="1"/>
                <c:pt idx="0">
                  <c:v>-10</c:v>
                </c:pt>
              </c:numCache>
            </c:numRef>
          </c:xVal>
          <c:yVal>
            <c:numRef>
              <c:f>'Hotspot Calcs'!$F$18</c:f>
              <c:numCache>
                <c:formatCode>0%</c:formatCode>
                <c:ptCount val="1"/>
                <c:pt idx="0">
                  <c:v>0</c:v>
                </c:pt>
              </c:numCache>
            </c:numRef>
          </c:yVal>
          <c:smooth val="0"/>
          <c:extLst>
            <c:ext xmlns:c16="http://schemas.microsoft.com/office/drawing/2014/chart" uri="{C3380CC4-5D6E-409C-BE32-E72D297353CC}">
              <c16:uniqueId val="{0000000F-5B2E-4E3A-A5C0-F224F774F9AD}"/>
            </c:ext>
          </c:extLst>
        </c:ser>
        <c:ser>
          <c:idx val="16"/>
          <c:order val="16"/>
          <c:tx>
            <c:strRef>
              <c:f>'Hotspot Calcs'!$B$19</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Calcs'!$I$19</c:f>
              <c:numCache>
                <c:formatCode>0%</c:formatCode>
                <c:ptCount val="1"/>
                <c:pt idx="0">
                  <c:v>-10</c:v>
                </c:pt>
              </c:numCache>
            </c:numRef>
          </c:xVal>
          <c:yVal>
            <c:numRef>
              <c:f>'Hotspot Calcs'!$F$19</c:f>
              <c:numCache>
                <c:formatCode>0%</c:formatCode>
                <c:ptCount val="1"/>
                <c:pt idx="0">
                  <c:v>0</c:v>
                </c:pt>
              </c:numCache>
            </c:numRef>
          </c:yVal>
          <c:smooth val="0"/>
          <c:extLst>
            <c:ext xmlns:c16="http://schemas.microsoft.com/office/drawing/2014/chart" uri="{C3380CC4-5D6E-409C-BE32-E72D297353CC}">
              <c16:uniqueId val="{00000010-5B2E-4E3A-A5C0-F224F774F9AD}"/>
            </c:ext>
          </c:extLst>
        </c:ser>
        <c:ser>
          <c:idx val="17"/>
          <c:order val="17"/>
          <c:tx>
            <c:strRef>
              <c:f>'Hotspot Calcs'!$B$20</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Calcs'!$I$20</c:f>
              <c:numCache>
                <c:formatCode>0%</c:formatCode>
                <c:ptCount val="1"/>
                <c:pt idx="0">
                  <c:v>-10</c:v>
                </c:pt>
              </c:numCache>
            </c:numRef>
          </c:xVal>
          <c:yVal>
            <c:numRef>
              <c:f>'Hotspot Calcs'!$F$20</c:f>
              <c:numCache>
                <c:formatCode>0%</c:formatCode>
                <c:ptCount val="1"/>
                <c:pt idx="0">
                  <c:v>0</c:v>
                </c:pt>
              </c:numCache>
            </c:numRef>
          </c:yVal>
          <c:smooth val="0"/>
          <c:extLst>
            <c:ext xmlns:c16="http://schemas.microsoft.com/office/drawing/2014/chart" uri="{C3380CC4-5D6E-409C-BE32-E72D297353CC}">
              <c16:uniqueId val="{00000011-5B2E-4E3A-A5C0-F224F774F9AD}"/>
            </c:ext>
          </c:extLst>
        </c:ser>
        <c:ser>
          <c:idx val="18"/>
          <c:order val="18"/>
          <c:tx>
            <c:strRef>
              <c:f>'Hotspot Calcs'!$B$21</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Calcs'!$I$21</c:f>
              <c:numCache>
                <c:formatCode>0%</c:formatCode>
                <c:ptCount val="1"/>
                <c:pt idx="0">
                  <c:v>-10</c:v>
                </c:pt>
              </c:numCache>
            </c:numRef>
          </c:xVal>
          <c:yVal>
            <c:numRef>
              <c:f>'Hotspot Calcs'!$F$21</c:f>
              <c:numCache>
                <c:formatCode>0%</c:formatCode>
                <c:ptCount val="1"/>
                <c:pt idx="0">
                  <c:v>0</c:v>
                </c:pt>
              </c:numCache>
            </c:numRef>
          </c:yVal>
          <c:smooth val="0"/>
          <c:extLst>
            <c:ext xmlns:c16="http://schemas.microsoft.com/office/drawing/2014/chart" uri="{C3380CC4-5D6E-409C-BE32-E72D297353CC}">
              <c16:uniqueId val="{00000012-5B2E-4E3A-A5C0-F224F774F9AD}"/>
            </c:ext>
          </c:extLst>
        </c:ser>
        <c:ser>
          <c:idx val="19"/>
          <c:order val="19"/>
          <c:tx>
            <c:strRef>
              <c:f>'Hotspot Calcs'!$B$22</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Calcs'!$I$22</c:f>
              <c:numCache>
                <c:formatCode>0%</c:formatCode>
                <c:ptCount val="1"/>
                <c:pt idx="0">
                  <c:v>-10</c:v>
                </c:pt>
              </c:numCache>
            </c:numRef>
          </c:xVal>
          <c:yVal>
            <c:numRef>
              <c:f>'Hotspot Calcs'!$F$22</c:f>
              <c:numCache>
                <c:formatCode>0%</c:formatCode>
                <c:ptCount val="1"/>
                <c:pt idx="0">
                  <c:v>0</c:v>
                </c:pt>
              </c:numCache>
            </c:numRef>
          </c:yVal>
          <c:smooth val="0"/>
          <c:extLst>
            <c:ext xmlns:c16="http://schemas.microsoft.com/office/drawing/2014/chart" uri="{C3380CC4-5D6E-409C-BE32-E72D297353CC}">
              <c16:uniqueId val="{00000013-5B2E-4E3A-A5C0-F224F774F9AD}"/>
            </c:ext>
          </c:extLst>
        </c:ser>
        <c:ser>
          <c:idx val="20"/>
          <c:order val="20"/>
          <c:tx>
            <c:strRef>
              <c:f>'Hotspot Calcs'!$B$23</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Calcs'!$I$23</c:f>
              <c:numCache>
                <c:formatCode>0%</c:formatCode>
                <c:ptCount val="1"/>
                <c:pt idx="0">
                  <c:v>-10</c:v>
                </c:pt>
              </c:numCache>
            </c:numRef>
          </c:xVal>
          <c:yVal>
            <c:numRef>
              <c:f>'Hotspot Calcs'!$F$23</c:f>
              <c:numCache>
                <c:formatCode>0%</c:formatCode>
                <c:ptCount val="1"/>
                <c:pt idx="0">
                  <c:v>0</c:v>
                </c:pt>
              </c:numCache>
            </c:numRef>
          </c:yVal>
          <c:smooth val="0"/>
          <c:extLst>
            <c:ext xmlns:c16="http://schemas.microsoft.com/office/drawing/2014/chart" uri="{C3380CC4-5D6E-409C-BE32-E72D297353CC}">
              <c16:uniqueId val="{00000014-5B2E-4E3A-A5C0-F224F774F9AD}"/>
            </c:ext>
          </c:extLst>
        </c:ser>
        <c:ser>
          <c:idx val="21"/>
          <c:order val="21"/>
          <c:tx>
            <c:strRef>
              <c:f>'Hotspot Calcs'!$B$24</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Calcs'!$I$24</c:f>
              <c:numCache>
                <c:formatCode>0%</c:formatCode>
                <c:ptCount val="1"/>
                <c:pt idx="0">
                  <c:v>-10</c:v>
                </c:pt>
              </c:numCache>
            </c:numRef>
          </c:xVal>
          <c:yVal>
            <c:numRef>
              <c:f>'Hotspot Calcs'!$F$24</c:f>
              <c:numCache>
                <c:formatCode>0%</c:formatCode>
                <c:ptCount val="1"/>
                <c:pt idx="0">
                  <c:v>0</c:v>
                </c:pt>
              </c:numCache>
            </c:numRef>
          </c:yVal>
          <c:smooth val="0"/>
          <c:extLst>
            <c:ext xmlns:c16="http://schemas.microsoft.com/office/drawing/2014/chart" uri="{C3380CC4-5D6E-409C-BE32-E72D297353CC}">
              <c16:uniqueId val="{00000015-5B2E-4E3A-A5C0-F224F774F9AD}"/>
            </c:ext>
          </c:extLst>
        </c:ser>
        <c:ser>
          <c:idx val="22"/>
          <c:order val="22"/>
          <c:tx>
            <c:strRef>
              <c:f>'Hotspot Calcs'!$B$25</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Calcs'!$I$25</c:f>
              <c:numCache>
                <c:formatCode>0%</c:formatCode>
                <c:ptCount val="1"/>
                <c:pt idx="0">
                  <c:v>-10</c:v>
                </c:pt>
              </c:numCache>
            </c:numRef>
          </c:xVal>
          <c:yVal>
            <c:numRef>
              <c:f>'Hotspot Calcs'!$F$25</c:f>
              <c:numCache>
                <c:formatCode>0%</c:formatCode>
                <c:ptCount val="1"/>
                <c:pt idx="0">
                  <c:v>0</c:v>
                </c:pt>
              </c:numCache>
            </c:numRef>
          </c:yVal>
          <c:smooth val="0"/>
          <c:extLst>
            <c:ext xmlns:c16="http://schemas.microsoft.com/office/drawing/2014/chart" uri="{C3380CC4-5D6E-409C-BE32-E72D297353CC}">
              <c16:uniqueId val="{00000016-5B2E-4E3A-A5C0-F224F774F9AD}"/>
            </c:ext>
          </c:extLst>
        </c:ser>
        <c:ser>
          <c:idx val="23"/>
          <c:order val="23"/>
          <c:tx>
            <c:strRef>
              <c:f>'Hotspot Calcs'!$B$26</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Calcs'!$I$26</c:f>
              <c:numCache>
                <c:formatCode>0%</c:formatCode>
                <c:ptCount val="1"/>
                <c:pt idx="0">
                  <c:v>-10</c:v>
                </c:pt>
              </c:numCache>
            </c:numRef>
          </c:xVal>
          <c:yVal>
            <c:numRef>
              <c:f>'Hotspot Calcs'!$F$26</c:f>
              <c:numCache>
                <c:formatCode>0%</c:formatCode>
                <c:ptCount val="1"/>
                <c:pt idx="0">
                  <c:v>0</c:v>
                </c:pt>
              </c:numCache>
            </c:numRef>
          </c:yVal>
          <c:smooth val="0"/>
          <c:extLst>
            <c:ext xmlns:c16="http://schemas.microsoft.com/office/drawing/2014/chart" uri="{C3380CC4-5D6E-409C-BE32-E72D297353CC}">
              <c16:uniqueId val="{00000017-5B2E-4E3A-A5C0-F224F774F9AD}"/>
            </c:ext>
          </c:extLst>
        </c:ser>
        <c:ser>
          <c:idx val="24"/>
          <c:order val="24"/>
          <c:tx>
            <c:strRef>
              <c:f>'Hotspot Calcs'!$B$27</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Calcs'!$I$27</c:f>
              <c:numCache>
                <c:formatCode>0%</c:formatCode>
                <c:ptCount val="1"/>
                <c:pt idx="0">
                  <c:v>-10</c:v>
                </c:pt>
              </c:numCache>
            </c:numRef>
          </c:xVal>
          <c:yVal>
            <c:numRef>
              <c:f>'Hotspot Calcs'!$F$27</c:f>
              <c:numCache>
                <c:formatCode>0%</c:formatCode>
                <c:ptCount val="1"/>
                <c:pt idx="0">
                  <c:v>0</c:v>
                </c:pt>
              </c:numCache>
            </c:numRef>
          </c:yVal>
          <c:smooth val="0"/>
          <c:extLst>
            <c:ext xmlns:c16="http://schemas.microsoft.com/office/drawing/2014/chart" uri="{C3380CC4-5D6E-409C-BE32-E72D297353CC}">
              <c16:uniqueId val="{00000018-5B2E-4E3A-A5C0-F224F774F9AD}"/>
            </c:ext>
          </c:extLst>
        </c:ser>
        <c:ser>
          <c:idx val="25"/>
          <c:order val="25"/>
          <c:tx>
            <c:strRef>
              <c:f>'Hotspot Calcs'!$B$28</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Calcs'!$I$28</c:f>
              <c:numCache>
                <c:formatCode>0%</c:formatCode>
                <c:ptCount val="1"/>
                <c:pt idx="0">
                  <c:v>-10</c:v>
                </c:pt>
              </c:numCache>
            </c:numRef>
          </c:xVal>
          <c:yVal>
            <c:numRef>
              <c:f>'Hotspot Calcs'!$F$28</c:f>
              <c:numCache>
                <c:formatCode>0%</c:formatCode>
                <c:ptCount val="1"/>
                <c:pt idx="0">
                  <c:v>0</c:v>
                </c:pt>
              </c:numCache>
            </c:numRef>
          </c:yVal>
          <c:smooth val="0"/>
          <c:extLst>
            <c:ext xmlns:c16="http://schemas.microsoft.com/office/drawing/2014/chart" uri="{C3380CC4-5D6E-409C-BE32-E72D297353CC}">
              <c16:uniqueId val="{00000019-5B2E-4E3A-A5C0-F224F774F9AD}"/>
            </c:ext>
          </c:extLst>
        </c:ser>
        <c:ser>
          <c:idx val="26"/>
          <c:order val="26"/>
          <c:tx>
            <c:strRef>
              <c:f>'Hotspot Calcs'!$B$29</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Calcs'!$I$29</c:f>
              <c:numCache>
                <c:formatCode>0%</c:formatCode>
                <c:ptCount val="1"/>
                <c:pt idx="0">
                  <c:v>-10</c:v>
                </c:pt>
              </c:numCache>
            </c:numRef>
          </c:xVal>
          <c:yVal>
            <c:numRef>
              <c:f>'Hotspot Calcs'!$F$29</c:f>
              <c:numCache>
                <c:formatCode>0%</c:formatCode>
                <c:ptCount val="1"/>
                <c:pt idx="0">
                  <c:v>0</c:v>
                </c:pt>
              </c:numCache>
            </c:numRef>
          </c:yVal>
          <c:smooth val="0"/>
          <c:extLst>
            <c:ext xmlns:c16="http://schemas.microsoft.com/office/drawing/2014/chart" uri="{C3380CC4-5D6E-409C-BE32-E72D297353CC}">
              <c16:uniqueId val="{0000001A-5B2E-4E3A-A5C0-F224F774F9AD}"/>
            </c:ext>
          </c:extLst>
        </c:ser>
        <c:ser>
          <c:idx val="27"/>
          <c:order val="27"/>
          <c:tx>
            <c:strRef>
              <c:f>'Hotspot Calcs'!$B$30</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Calcs'!$I$30</c:f>
              <c:numCache>
                <c:formatCode>0%</c:formatCode>
                <c:ptCount val="1"/>
                <c:pt idx="0">
                  <c:v>-10</c:v>
                </c:pt>
              </c:numCache>
            </c:numRef>
          </c:xVal>
          <c:yVal>
            <c:numRef>
              <c:f>'Hotspot Calcs'!$F$30</c:f>
              <c:numCache>
                <c:formatCode>0%</c:formatCode>
                <c:ptCount val="1"/>
                <c:pt idx="0">
                  <c:v>0</c:v>
                </c:pt>
              </c:numCache>
            </c:numRef>
          </c:yVal>
          <c:smooth val="0"/>
          <c:extLst>
            <c:ext xmlns:c16="http://schemas.microsoft.com/office/drawing/2014/chart" uri="{C3380CC4-5D6E-409C-BE32-E72D297353CC}">
              <c16:uniqueId val="{0000001B-5B2E-4E3A-A5C0-F224F774F9AD}"/>
            </c:ext>
          </c:extLst>
        </c:ser>
        <c:ser>
          <c:idx val="28"/>
          <c:order val="28"/>
          <c:tx>
            <c:strRef>
              <c:f>'Hotspot Calcs'!$B$31</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Calcs'!$I$31</c:f>
              <c:numCache>
                <c:formatCode>0%</c:formatCode>
                <c:ptCount val="1"/>
                <c:pt idx="0">
                  <c:v>-10</c:v>
                </c:pt>
              </c:numCache>
            </c:numRef>
          </c:xVal>
          <c:yVal>
            <c:numRef>
              <c:f>'Hotspot Calcs'!$F$31</c:f>
              <c:numCache>
                <c:formatCode>0%</c:formatCode>
                <c:ptCount val="1"/>
                <c:pt idx="0">
                  <c:v>0</c:v>
                </c:pt>
              </c:numCache>
            </c:numRef>
          </c:yVal>
          <c:smooth val="0"/>
          <c:extLst>
            <c:ext xmlns:c16="http://schemas.microsoft.com/office/drawing/2014/chart" uri="{C3380CC4-5D6E-409C-BE32-E72D297353CC}">
              <c16:uniqueId val="{0000001C-5B2E-4E3A-A5C0-F224F774F9AD}"/>
            </c:ext>
          </c:extLst>
        </c:ser>
        <c:ser>
          <c:idx val="29"/>
          <c:order val="29"/>
          <c:tx>
            <c:strRef>
              <c:f>'Hotspot Calcs'!$B$32</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'Hotspot Calcs'!$I$32</c:f>
              <c:numCache>
                <c:formatCode>0%</c:formatCode>
                <c:ptCount val="1"/>
                <c:pt idx="0">
                  <c:v>-10</c:v>
                </c:pt>
              </c:numCache>
            </c:numRef>
          </c:xVal>
          <c:yVal>
            <c:numRef>
              <c:f>'Hotspot Calcs'!$F$32</c:f>
              <c:numCache>
                <c:formatCode>0%</c:formatCode>
                <c:ptCount val="1"/>
                <c:pt idx="0">
                  <c:v>0</c:v>
                </c:pt>
              </c:numCache>
            </c:numRef>
          </c:yVal>
          <c:smooth val="0"/>
          <c:extLst>
            <c:ext xmlns:c16="http://schemas.microsoft.com/office/drawing/2014/chart" uri="{C3380CC4-5D6E-409C-BE32-E72D297353CC}">
              <c16:uniqueId val="{0000001D-5B2E-4E3A-A5C0-F224F774F9AD}"/>
            </c:ext>
          </c:extLst>
        </c:ser>
        <c:dLbls>
          <c:showLegendKey val="0"/>
          <c:showVal val="0"/>
          <c:showCatName val="0"/>
          <c:showSerName val="0"/>
          <c:showPercent val="0"/>
          <c:showBubbleSize val="0"/>
        </c:dLbls>
        <c:axId val="2095865952"/>
        <c:axId val="20935407"/>
      </c:scatterChart>
      <c:valAx>
        <c:axId val="2095865952"/>
        <c:scaling>
          <c:orientation val="minMax"/>
          <c:max val="1"/>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r>
                  <a:rPr lang="en-US"/>
                  <a:t>MCI</a:t>
                </a:r>
              </a:p>
            </c:rich>
          </c:tx>
          <c:overlay val="0"/>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crossAx val="20935407"/>
        <c:crosses val="autoZero"/>
        <c:crossBetween val="midCat"/>
        <c:majorUnit val="0.1"/>
      </c:valAx>
      <c:valAx>
        <c:axId val="20935407"/>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r>
                  <a:rPr lang="en-US"/>
                  <a:t>% Total Embodied CO2</a:t>
                </a:r>
              </a:p>
            </c:rich>
          </c:tx>
          <c:overlay val="0"/>
          <c:spPr>
            <a:noFill/>
            <a:ln>
              <a:noFill/>
            </a:ln>
            <a:effectLst/>
          </c:spPr>
          <c:txPr>
            <a:bodyPr rot="-540000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crossAx val="20958659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solidFill>
            <a:srgbClr val="2B2869"/>
          </a:solidFill>
          <a:latin typeface="Work Sans" pitchFamily="2"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'Hotspot Calcs'!$B$3</c:f>
              <c:strCache>
                <c:ptCount val="1"/>
                <c:pt idx="0">
                  <c:v>Foundation</c:v>
                </c:pt>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Calcs'!$I$3</c:f>
              <c:numCache>
                <c:formatCode>0%</c:formatCode>
                <c:ptCount val="1"/>
                <c:pt idx="0">
                  <c:v>0.52249999999999996</c:v>
                </c:pt>
              </c:numCache>
            </c:numRef>
          </c:xVal>
          <c:yVal>
            <c:numRef>
              <c:f>'Hotspot Calcs'!$H$3</c:f>
              <c:numCache>
                <c:formatCode>0%</c:formatCode>
                <c:ptCount val="1"/>
                <c:pt idx="0">
                  <c:v>1.8743305962156374E-2</c:v>
                </c:pt>
              </c:numCache>
            </c:numRef>
          </c:yVal>
          <c:smooth val="0"/>
          <c:extLst>
            <c:ext xmlns:c16="http://schemas.microsoft.com/office/drawing/2014/chart" uri="{C3380CC4-5D6E-409C-BE32-E72D297353CC}">
              <c16:uniqueId val="{00000000-5A48-4B85-952E-EE8994144FE6}"/>
            </c:ext>
          </c:extLst>
        </c:ser>
        <c:ser>
          <c:idx val="1"/>
          <c:order val="1"/>
          <c:tx>
            <c:strRef>
              <c:f>'Hotspot Calcs'!$B$4</c:f>
              <c:strCache>
                <c:ptCount val="1"/>
                <c:pt idx="0">
                  <c:v>Structural Columns</c:v>
                </c:pt>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Calcs'!$I$4</c:f>
              <c:numCache>
                <c:formatCode>0%</c:formatCode>
                <c:ptCount val="1"/>
                <c:pt idx="0">
                  <c:v>0.67500000000000004</c:v>
                </c:pt>
              </c:numCache>
            </c:numRef>
          </c:xVal>
          <c:yVal>
            <c:numRef>
              <c:f>'Hotspot Calcs'!$H$4</c:f>
              <c:numCache>
                <c:formatCode>0%</c:formatCode>
                <c:ptCount val="1"/>
                <c:pt idx="0">
                  <c:v>0.19635844341306677</c:v>
                </c:pt>
              </c:numCache>
            </c:numRef>
          </c:yVal>
          <c:smooth val="0"/>
          <c:extLst>
            <c:ext xmlns:c16="http://schemas.microsoft.com/office/drawing/2014/chart" uri="{C3380CC4-5D6E-409C-BE32-E72D297353CC}">
              <c16:uniqueId val="{00000001-5A48-4B85-952E-EE8994144FE6}"/>
            </c:ext>
          </c:extLst>
        </c:ser>
        <c:ser>
          <c:idx val="2"/>
          <c:order val="2"/>
          <c:tx>
            <c:strRef>
              <c:f>'Hotspot Calcs'!$B$5</c:f>
              <c:strCache>
                <c:ptCount val="1"/>
                <c:pt idx="0">
                  <c:v>Floor Beams</c:v>
                </c:pt>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Calcs'!$I$5</c:f>
              <c:numCache>
                <c:formatCode>0%</c:formatCode>
                <c:ptCount val="1"/>
                <c:pt idx="0">
                  <c:v>0.57499999999999996</c:v>
                </c:pt>
              </c:numCache>
            </c:numRef>
          </c:xVal>
          <c:yVal>
            <c:numRef>
              <c:f>'Hotspot Calcs'!$H$5</c:f>
              <c:numCache>
                <c:formatCode>0%</c:formatCode>
                <c:ptCount val="1"/>
                <c:pt idx="0">
                  <c:v>0.1885041056765441</c:v>
                </c:pt>
              </c:numCache>
            </c:numRef>
          </c:yVal>
          <c:smooth val="0"/>
          <c:extLst>
            <c:ext xmlns:c16="http://schemas.microsoft.com/office/drawing/2014/chart" uri="{C3380CC4-5D6E-409C-BE32-E72D297353CC}">
              <c16:uniqueId val="{00000002-5A48-4B85-952E-EE8994144FE6}"/>
            </c:ext>
          </c:extLst>
        </c:ser>
        <c:ser>
          <c:idx val="3"/>
          <c:order val="3"/>
          <c:tx>
            <c:strRef>
              <c:f>'Hotspot Calcs'!$B$6</c:f>
              <c:strCache>
                <c:ptCount val="1"/>
                <c:pt idx="0">
                  <c:v>Roof Beams</c:v>
                </c:pt>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Calcs'!$I$6</c:f>
              <c:numCache>
                <c:formatCode>0%</c:formatCode>
                <c:ptCount val="1"/>
                <c:pt idx="0">
                  <c:v>1</c:v>
                </c:pt>
              </c:numCache>
            </c:numRef>
          </c:xVal>
          <c:yVal>
            <c:numRef>
              <c:f>'Hotspot Calcs'!$H$6</c:f>
              <c:numCache>
                <c:formatCode>0%</c:formatCode>
                <c:ptCount val="1"/>
                <c:pt idx="0">
                  <c:v>0.46858264905390934</c:v>
                </c:pt>
              </c:numCache>
            </c:numRef>
          </c:yVal>
          <c:smooth val="0"/>
          <c:extLst>
            <c:ext xmlns:c16="http://schemas.microsoft.com/office/drawing/2014/chart" uri="{C3380CC4-5D6E-409C-BE32-E72D297353CC}">
              <c16:uniqueId val="{00000003-5A48-4B85-952E-EE8994144FE6}"/>
            </c:ext>
          </c:extLst>
        </c:ser>
        <c:ser>
          <c:idx val="4"/>
          <c:order val="4"/>
          <c:tx>
            <c:strRef>
              <c:f>'Hotspot Calcs'!$B$7</c:f>
              <c:strCache>
                <c:ptCount val="1"/>
                <c:pt idx="0">
                  <c:v>External wall panels</c:v>
                </c:pt>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Calcs'!$I$7</c:f>
              <c:numCache>
                <c:formatCode>0%</c:formatCode>
                <c:ptCount val="1"/>
                <c:pt idx="0">
                  <c:v>4.4999999999999998E-2</c:v>
                </c:pt>
              </c:numCache>
            </c:numRef>
          </c:xVal>
          <c:yVal>
            <c:numRef>
              <c:f>'Hotspot Calcs'!$H$7</c:f>
              <c:numCache>
                <c:formatCode>0%</c:formatCode>
                <c:ptCount val="1"/>
                <c:pt idx="0">
                  <c:v>1.9992859692966797E-2</c:v>
                </c:pt>
              </c:numCache>
            </c:numRef>
          </c:yVal>
          <c:smooth val="0"/>
          <c:extLst>
            <c:ext xmlns:c16="http://schemas.microsoft.com/office/drawing/2014/chart" uri="{C3380CC4-5D6E-409C-BE32-E72D297353CC}">
              <c16:uniqueId val="{00000004-5A48-4B85-952E-EE8994144FE6}"/>
            </c:ext>
          </c:extLst>
        </c:ser>
        <c:ser>
          <c:idx val="5"/>
          <c:order val="5"/>
          <c:tx>
            <c:strRef>
              <c:f>'Hotspot Calcs'!$B$8</c:f>
              <c:strCache>
                <c:ptCount val="1"/>
                <c:pt idx="0">
                  <c:v>Internal wall panels</c:v>
                </c:pt>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Calcs'!$I$8</c:f>
              <c:numCache>
                <c:formatCode>0%</c:formatCode>
                <c:ptCount val="1"/>
                <c:pt idx="0">
                  <c:v>0.25</c:v>
                </c:pt>
              </c:numCache>
            </c:numRef>
          </c:xVal>
          <c:yVal>
            <c:numRef>
              <c:f>'Hotspot Calcs'!$H$8</c:f>
              <c:numCache>
                <c:formatCode>0%</c:formatCode>
                <c:ptCount val="1"/>
                <c:pt idx="0">
                  <c:v>4.2841842199214566E-2</c:v>
                </c:pt>
              </c:numCache>
            </c:numRef>
          </c:yVal>
          <c:smooth val="0"/>
          <c:extLst>
            <c:ext xmlns:c16="http://schemas.microsoft.com/office/drawing/2014/chart" uri="{C3380CC4-5D6E-409C-BE32-E72D297353CC}">
              <c16:uniqueId val="{00000005-5A48-4B85-952E-EE8994144FE6}"/>
            </c:ext>
          </c:extLst>
        </c:ser>
        <c:ser>
          <c:idx val="6"/>
          <c:order val="6"/>
          <c:tx>
            <c:strRef>
              <c:f>'Hotspot Calcs'!$B$9</c:f>
              <c:strCache>
                <c:ptCount val="1"/>
                <c:pt idx="0">
                  <c:v>Flooring Sheets</c:v>
                </c:pt>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Calcs'!$I$9</c:f>
              <c:numCache>
                <c:formatCode>0%</c:formatCode>
                <c:ptCount val="1"/>
                <c:pt idx="0">
                  <c:v>0.72499999999999998</c:v>
                </c:pt>
              </c:numCache>
            </c:numRef>
          </c:xVal>
          <c:yVal>
            <c:numRef>
              <c:f>'Hotspot Calcs'!$H$9</c:f>
              <c:numCache>
                <c:formatCode>0%</c:formatCode>
                <c:ptCount val="1"/>
                <c:pt idx="0">
                  <c:v>6.2477686540521243E-2</c:v>
                </c:pt>
              </c:numCache>
            </c:numRef>
          </c:yVal>
          <c:smooth val="0"/>
          <c:extLst>
            <c:ext xmlns:c16="http://schemas.microsoft.com/office/drawing/2014/chart" uri="{C3380CC4-5D6E-409C-BE32-E72D297353CC}">
              <c16:uniqueId val="{00000006-5A48-4B85-952E-EE8994144FE6}"/>
            </c:ext>
          </c:extLst>
        </c:ser>
        <c:ser>
          <c:idx val="7"/>
          <c:order val="7"/>
          <c:tx>
            <c:strRef>
              <c:f>'Hotspot Calcs'!$B$10</c:f>
              <c:strCache>
                <c:ptCount val="1"/>
                <c:pt idx="0">
                  <c:v>Roof Tiles</c:v>
                </c:pt>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Calcs'!$I$10</c:f>
              <c:numCache>
                <c:formatCode>0%</c:formatCode>
                <c:ptCount val="1"/>
                <c:pt idx="0">
                  <c:v>0.05</c:v>
                </c:pt>
              </c:numCache>
            </c:numRef>
          </c:xVal>
          <c:yVal>
            <c:numRef>
              <c:f>'Hotspot Calcs'!$H$10</c:f>
              <c:numCache>
                <c:formatCode>0%</c:formatCode>
                <c:ptCount val="1"/>
                <c:pt idx="0">
                  <c:v>2.4991074616208496E-3</c:v>
                </c:pt>
              </c:numCache>
            </c:numRef>
          </c:yVal>
          <c:smooth val="0"/>
          <c:extLst>
            <c:ext xmlns:c16="http://schemas.microsoft.com/office/drawing/2014/chart" uri="{C3380CC4-5D6E-409C-BE32-E72D297353CC}">
              <c16:uniqueId val="{00000007-5A48-4B85-952E-EE8994144FE6}"/>
            </c:ext>
          </c:extLst>
        </c:ser>
        <c:ser>
          <c:idx val="8"/>
          <c:order val="8"/>
          <c:tx>
            <c:strRef>
              <c:f>'Hotspot Calcs'!$B$11</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Calcs'!$I$11</c:f>
              <c:numCache>
                <c:formatCode>0%</c:formatCode>
                <c:ptCount val="1"/>
                <c:pt idx="0">
                  <c:v>-10</c:v>
                </c:pt>
              </c:numCache>
            </c:numRef>
          </c:xVal>
          <c:yVal>
            <c:numRef>
              <c:f>'Hotspot Calcs'!$H$11</c:f>
              <c:numCache>
                <c:formatCode>0%</c:formatCode>
                <c:ptCount val="1"/>
                <c:pt idx="0">
                  <c:v>0</c:v>
                </c:pt>
              </c:numCache>
            </c:numRef>
          </c:yVal>
          <c:smooth val="0"/>
          <c:extLst>
            <c:ext xmlns:c16="http://schemas.microsoft.com/office/drawing/2014/chart" uri="{C3380CC4-5D6E-409C-BE32-E72D297353CC}">
              <c16:uniqueId val="{00000008-5A48-4B85-952E-EE8994144FE6}"/>
            </c:ext>
          </c:extLst>
        </c:ser>
        <c:ser>
          <c:idx val="9"/>
          <c:order val="9"/>
          <c:tx>
            <c:strRef>
              <c:f>'Hotspot Calcs'!$B$12</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Calcs'!$I$12</c:f>
              <c:numCache>
                <c:formatCode>0%</c:formatCode>
                <c:ptCount val="1"/>
                <c:pt idx="0">
                  <c:v>-10</c:v>
                </c:pt>
              </c:numCache>
            </c:numRef>
          </c:xVal>
          <c:yVal>
            <c:numRef>
              <c:f>'Hotspot Calcs'!$H$12</c:f>
              <c:numCache>
                <c:formatCode>0%</c:formatCode>
                <c:ptCount val="1"/>
                <c:pt idx="0">
                  <c:v>0</c:v>
                </c:pt>
              </c:numCache>
            </c:numRef>
          </c:yVal>
          <c:smooth val="0"/>
          <c:extLst>
            <c:ext xmlns:c16="http://schemas.microsoft.com/office/drawing/2014/chart" uri="{C3380CC4-5D6E-409C-BE32-E72D297353CC}">
              <c16:uniqueId val="{00000009-5A48-4B85-952E-EE8994144FE6}"/>
            </c:ext>
          </c:extLst>
        </c:ser>
        <c:ser>
          <c:idx val="10"/>
          <c:order val="10"/>
          <c:tx>
            <c:strRef>
              <c:f>'Hotspot Calcs'!$B$13</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Calcs'!$I$13</c:f>
              <c:numCache>
                <c:formatCode>0%</c:formatCode>
                <c:ptCount val="1"/>
                <c:pt idx="0">
                  <c:v>-10</c:v>
                </c:pt>
              </c:numCache>
            </c:numRef>
          </c:xVal>
          <c:yVal>
            <c:numRef>
              <c:f>'Hotspot Calcs'!$H$13</c:f>
              <c:numCache>
                <c:formatCode>0%</c:formatCode>
                <c:ptCount val="1"/>
                <c:pt idx="0">
                  <c:v>0</c:v>
                </c:pt>
              </c:numCache>
            </c:numRef>
          </c:yVal>
          <c:smooth val="0"/>
          <c:extLst>
            <c:ext xmlns:c16="http://schemas.microsoft.com/office/drawing/2014/chart" uri="{C3380CC4-5D6E-409C-BE32-E72D297353CC}">
              <c16:uniqueId val="{0000000A-5A48-4B85-952E-EE8994144FE6}"/>
            </c:ext>
          </c:extLst>
        </c:ser>
        <c:ser>
          <c:idx val="11"/>
          <c:order val="11"/>
          <c:tx>
            <c:strRef>
              <c:f>'Hotspot Calcs'!$B$14</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Calcs'!$I$14</c:f>
              <c:numCache>
                <c:formatCode>0%</c:formatCode>
                <c:ptCount val="1"/>
                <c:pt idx="0">
                  <c:v>-10</c:v>
                </c:pt>
              </c:numCache>
            </c:numRef>
          </c:xVal>
          <c:yVal>
            <c:numRef>
              <c:f>'Hotspot Calcs'!$H$14</c:f>
              <c:numCache>
                <c:formatCode>0%</c:formatCode>
                <c:ptCount val="1"/>
                <c:pt idx="0">
                  <c:v>0</c:v>
                </c:pt>
              </c:numCache>
            </c:numRef>
          </c:yVal>
          <c:smooth val="0"/>
          <c:extLst>
            <c:ext xmlns:c16="http://schemas.microsoft.com/office/drawing/2014/chart" uri="{C3380CC4-5D6E-409C-BE32-E72D297353CC}">
              <c16:uniqueId val="{0000000B-5A48-4B85-952E-EE8994144FE6}"/>
            </c:ext>
          </c:extLst>
        </c:ser>
        <c:ser>
          <c:idx val="12"/>
          <c:order val="12"/>
          <c:tx>
            <c:strRef>
              <c:f>'Hotspot Calcs'!$B$15</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Calcs'!$I$15</c:f>
              <c:numCache>
                <c:formatCode>0%</c:formatCode>
                <c:ptCount val="1"/>
                <c:pt idx="0">
                  <c:v>-10</c:v>
                </c:pt>
              </c:numCache>
            </c:numRef>
          </c:xVal>
          <c:yVal>
            <c:numRef>
              <c:f>'Hotspot Calcs'!$H$15</c:f>
              <c:numCache>
                <c:formatCode>0%</c:formatCode>
                <c:ptCount val="1"/>
                <c:pt idx="0">
                  <c:v>0</c:v>
                </c:pt>
              </c:numCache>
            </c:numRef>
          </c:yVal>
          <c:smooth val="0"/>
          <c:extLst>
            <c:ext xmlns:c16="http://schemas.microsoft.com/office/drawing/2014/chart" uri="{C3380CC4-5D6E-409C-BE32-E72D297353CC}">
              <c16:uniqueId val="{0000000C-5A48-4B85-952E-EE8994144FE6}"/>
            </c:ext>
          </c:extLst>
        </c:ser>
        <c:ser>
          <c:idx val="13"/>
          <c:order val="13"/>
          <c:tx>
            <c:strRef>
              <c:f>'Hotspot Calcs'!$B$16</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Calcs'!$I$16</c:f>
              <c:numCache>
                <c:formatCode>0%</c:formatCode>
                <c:ptCount val="1"/>
                <c:pt idx="0">
                  <c:v>-10</c:v>
                </c:pt>
              </c:numCache>
            </c:numRef>
          </c:xVal>
          <c:yVal>
            <c:numRef>
              <c:f>'Hotspot Calcs'!$H$16</c:f>
              <c:numCache>
                <c:formatCode>0%</c:formatCode>
                <c:ptCount val="1"/>
                <c:pt idx="0">
                  <c:v>0</c:v>
                </c:pt>
              </c:numCache>
            </c:numRef>
          </c:yVal>
          <c:smooth val="0"/>
          <c:extLst>
            <c:ext xmlns:c16="http://schemas.microsoft.com/office/drawing/2014/chart" uri="{C3380CC4-5D6E-409C-BE32-E72D297353CC}">
              <c16:uniqueId val="{0000000D-5A48-4B85-952E-EE8994144FE6}"/>
            </c:ext>
          </c:extLst>
        </c:ser>
        <c:ser>
          <c:idx val="14"/>
          <c:order val="14"/>
          <c:tx>
            <c:strRef>
              <c:f>'Hotspot Calcs'!$B$17</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Calcs'!$I$17</c:f>
              <c:numCache>
                <c:formatCode>0%</c:formatCode>
                <c:ptCount val="1"/>
                <c:pt idx="0">
                  <c:v>-10</c:v>
                </c:pt>
              </c:numCache>
            </c:numRef>
          </c:xVal>
          <c:yVal>
            <c:numRef>
              <c:f>'Hotspot Calcs'!$H$17</c:f>
              <c:numCache>
                <c:formatCode>0%</c:formatCode>
                <c:ptCount val="1"/>
                <c:pt idx="0">
                  <c:v>0</c:v>
                </c:pt>
              </c:numCache>
            </c:numRef>
          </c:yVal>
          <c:smooth val="0"/>
          <c:extLst>
            <c:ext xmlns:c16="http://schemas.microsoft.com/office/drawing/2014/chart" uri="{C3380CC4-5D6E-409C-BE32-E72D297353CC}">
              <c16:uniqueId val="{0000000E-5A48-4B85-952E-EE8994144FE6}"/>
            </c:ext>
          </c:extLst>
        </c:ser>
        <c:ser>
          <c:idx val="15"/>
          <c:order val="15"/>
          <c:tx>
            <c:strRef>
              <c:f>'Hotspot Calcs'!$B$18</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Calcs'!$I$18</c:f>
              <c:numCache>
                <c:formatCode>0%</c:formatCode>
                <c:ptCount val="1"/>
                <c:pt idx="0">
                  <c:v>-10</c:v>
                </c:pt>
              </c:numCache>
            </c:numRef>
          </c:xVal>
          <c:yVal>
            <c:numRef>
              <c:f>'Hotspot Calcs'!$H$18</c:f>
              <c:numCache>
                <c:formatCode>0%</c:formatCode>
                <c:ptCount val="1"/>
                <c:pt idx="0">
                  <c:v>0</c:v>
                </c:pt>
              </c:numCache>
            </c:numRef>
          </c:yVal>
          <c:smooth val="0"/>
          <c:extLst>
            <c:ext xmlns:c16="http://schemas.microsoft.com/office/drawing/2014/chart" uri="{C3380CC4-5D6E-409C-BE32-E72D297353CC}">
              <c16:uniqueId val="{0000000F-5A48-4B85-952E-EE8994144FE6}"/>
            </c:ext>
          </c:extLst>
        </c:ser>
        <c:ser>
          <c:idx val="16"/>
          <c:order val="16"/>
          <c:tx>
            <c:strRef>
              <c:f>'Hotspot Calcs'!$B$19</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Calcs'!$I$19</c:f>
              <c:numCache>
                <c:formatCode>0%</c:formatCode>
                <c:ptCount val="1"/>
                <c:pt idx="0">
                  <c:v>-10</c:v>
                </c:pt>
              </c:numCache>
            </c:numRef>
          </c:xVal>
          <c:yVal>
            <c:numRef>
              <c:f>'Hotspot Calcs'!$H$19</c:f>
              <c:numCache>
                <c:formatCode>0%</c:formatCode>
                <c:ptCount val="1"/>
                <c:pt idx="0">
                  <c:v>0</c:v>
                </c:pt>
              </c:numCache>
            </c:numRef>
          </c:yVal>
          <c:smooth val="0"/>
          <c:extLst>
            <c:ext xmlns:c16="http://schemas.microsoft.com/office/drawing/2014/chart" uri="{C3380CC4-5D6E-409C-BE32-E72D297353CC}">
              <c16:uniqueId val="{00000010-5A48-4B85-952E-EE8994144FE6}"/>
            </c:ext>
          </c:extLst>
        </c:ser>
        <c:ser>
          <c:idx val="17"/>
          <c:order val="17"/>
          <c:tx>
            <c:strRef>
              <c:f>'Hotspot Calcs'!$B$20</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Calcs'!$I$20</c:f>
              <c:numCache>
                <c:formatCode>0%</c:formatCode>
                <c:ptCount val="1"/>
                <c:pt idx="0">
                  <c:v>-10</c:v>
                </c:pt>
              </c:numCache>
            </c:numRef>
          </c:xVal>
          <c:yVal>
            <c:numRef>
              <c:f>'Hotspot Calcs'!$H$20</c:f>
              <c:numCache>
                <c:formatCode>0%</c:formatCode>
                <c:ptCount val="1"/>
                <c:pt idx="0">
                  <c:v>0</c:v>
                </c:pt>
              </c:numCache>
            </c:numRef>
          </c:yVal>
          <c:smooth val="0"/>
          <c:extLst>
            <c:ext xmlns:c16="http://schemas.microsoft.com/office/drawing/2014/chart" uri="{C3380CC4-5D6E-409C-BE32-E72D297353CC}">
              <c16:uniqueId val="{00000011-5A48-4B85-952E-EE8994144FE6}"/>
            </c:ext>
          </c:extLst>
        </c:ser>
        <c:ser>
          <c:idx val="18"/>
          <c:order val="18"/>
          <c:tx>
            <c:strRef>
              <c:f>'Hotspot Calcs'!$B$21</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Calcs'!$I$21</c:f>
              <c:numCache>
                <c:formatCode>0%</c:formatCode>
                <c:ptCount val="1"/>
                <c:pt idx="0">
                  <c:v>-10</c:v>
                </c:pt>
              </c:numCache>
            </c:numRef>
          </c:xVal>
          <c:yVal>
            <c:numRef>
              <c:f>'Hotspot Calcs'!$H$21</c:f>
              <c:numCache>
                <c:formatCode>0%</c:formatCode>
                <c:ptCount val="1"/>
                <c:pt idx="0">
                  <c:v>0</c:v>
                </c:pt>
              </c:numCache>
            </c:numRef>
          </c:yVal>
          <c:smooth val="0"/>
          <c:extLst>
            <c:ext xmlns:c16="http://schemas.microsoft.com/office/drawing/2014/chart" uri="{C3380CC4-5D6E-409C-BE32-E72D297353CC}">
              <c16:uniqueId val="{00000012-5A48-4B85-952E-EE8994144FE6}"/>
            </c:ext>
          </c:extLst>
        </c:ser>
        <c:ser>
          <c:idx val="19"/>
          <c:order val="19"/>
          <c:tx>
            <c:strRef>
              <c:f>'Hotspot Calcs'!$B$22</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Calcs'!$I$22</c:f>
              <c:numCache>
                <c:formatCode>0%</c:formatCode>
                <c:ptCount val="1"/>
                <c:pt idx="0">
                  <c:v>-10</c:v>
                </c:pt>
              </c:numCache>
            </c:numRef>
          </c:xVal>
          <c:yVal>
            <c:numRef>
              <c:f>'Hotspot Calcs'!$H$22</c:f>
              <c:numCache>
                <c:formatCode>0%</c:formatCode>
                <c:ptCount val="1"/>
                <c:pt idx="0">
                  <c:v>0</c:v>
                </c:pt>
              </c:numCache>
            </c:numRef>
          </c:yVal>
          <c:smooth val="0"/>
          <c:extLst>
            <c:ext xmlns:c16="http://schemas.microsoft.com/office/drawing/2014/chart" uri="{C3380CC4-5D6E-409C-BE32-E72D297353CC}">
              <c16:uniqueId val="{00000013-5A48-4B85-952E-EE8994144FE6}"/>
            </c:ext>
          </c:extLst>
        </c:ser>
        <c:ser>
          <c:idx val="20"/>
          <c:order val="20"/>
          <c:tx>
            <c:strRef>
              <c:f>'Hotspot Calcs'!$B$23</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Calcs'!$I$23</c:f>
              <c:numCache>
                <c:formatCode>0%</c:formatCode>
                <c:ptCount val="1"/>
                <c:pt idx="0">
                  <c:v>-10</c:v>
                </c:pt>
              </c:numCache>
            </c:numRef>
          </c:xVal>
          <c:yVal>
            <c:numRef>
              <c:f>'Hotspot Calcs'!$H$23</c:f>
              <c:numCache>
                <c:formatCode>0%</c:formatCode>
                <c:ptCount val="1"/>
                <c:pt idx="0">
                  <c:v>0</c:v>
                </c:pt>
              </c:numCache>
            </c:numRef>
          </c:yVal>
          <c:smooth val="0"/>
          <c:extLst>
            <c:ext xmlns:c16="http://schemas.microsoft.com/office/drawing/2014/chart" uri="{C3380CC4-5D6E-409C-BE32-E72D297353CC}">
              <c16:uniqueId val="{00000014-5A48-4B85-952E-EE8994144FE6}"/>
            </c:ext>
          </c:extLst>
        </c:ser>
        <c:ser>
          <c:idx val="21"/>
          <c:order val="21"/>
          <c:tx>
            <c:strRef>
              <c:f>'Hotspot Calcs'!$B$24</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Calcs'!$I$24</c:f>
              <c:numCache>
                <c:formatCode>0%</c:formatCode>
                <c:ptCount val="1"/>
                <c:pt idx="0">
                  <c:v>-10</c:v>
                </c:pt>
              </c:numCache>
            </c:numRef>
          </c:xVal>
          <c:yVal>
            <c:numRef>
              <c:f>'Hotspot Calcs'!$H$24</c:f>
              <c:numCache>
                <c:formatCode>0%</c:formatCode>
                <c:ptCount val="1"/>
                <c:pt idx="0">
                  <c:v>0</c:v>
                </c:pt>
              </c:numCache>
            </c:numRef>
          </c:yVal>
          <c:smooth val="0"/>
          <c:extLst>
            <c:ext xmlns:c16="http://schemas.microsoft.com/office/drawing/2014/chart" uri="{C3380CC4-5D6E-409C-BE32-E72D297353CC}">
              <c16:uniqueId val="{00000015-5A48-4B85-952E-EE8994144FE6}"/>
            </c:ext>
          </c:extLst>
        </c:ser>
        <c:ser>
          <c:idx val="22"/>
          <c:order val="22"/>
          <c:tx>
            <c:strRef>
              <c:f>'Hotspot Calcs'!$B$25</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Calcs'!$I$25</c:f>
              <c:numCache>
                <c:formatCode>0%</c:formatCode>
                <c:ptCount val="1"/>
                <c:pt idx="0">
                  <c:v>-10</c:v>
                </c:pt>
              </c:numCache>
            </c:numRef>
          </c:xVal>
          <c:yVal>
            <c:numRef>
              <c:f>'Hotspot Calcs'!$H$25</c:f>
              <c:numCache>
                <c:formatCode>0%</c:formatCode>
                <c:ptCount val="1"/>
                <c:pt idx="0">
                  <c:v>0</c:v>
                </c:pt>
              </c:numCache>
            </c:numRef>
          </c:yVal>
          <c:smooth val="0"/>
          <c:extLst>
            <c:ext xmlns:c16="http://schemas.microsoft.com/office/drawing/2014/chart" uri="{C3380CC4-5D6E-409C-BE32-E72D297353CC}">
              <c16:uniqueId val="{00000016-5A48-4B85-952E-EE8994144FE6}"/>
            </c:ext>
          </c:extLst>
        </c:ser>
        <c:ser>
          <c:idx val="23"/>
          <c:order val="23"/>
          <c:tx>
            <c:strRef>
              <c:f>'Hotspot Calcs'!$B$26</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Calcs'!$I$26</c:f>
              <c:numCache>
                <c:formatCode>0%</c:formatCode>
                <c:ptCount val="1"/>
                <c:pt idx="0">
                  <c:v>-10</c:v>
                </c:pt>
              </c:numCache>
            </c:numRef>
          </c:xVal>
          <c:yVal>
            <c:numRef>
              <c:f>'Hotspot Calcs'!$H$26</c:f>
              <c:numCache>
                <c:formatCode>0%</c:formatCode>
                <c:ptCount val="1"/>
                <c:pt idx="0">
                  <c:v>0</c:v>
                </c:pt>
              </c:numCache>
            </c:numRef>
          </c:yVal>
          <c:smooth val="0"/>
          <c:extLst>
            <c:ext xmlns:c16="http://schemas.microsoft.com/office/drawing/2014/chart" uri="{C3380CC4-5D6E-409C-BE32-E72D297353CC}">
              <c16:uniqueId val="{00000017-5A48-4B85-952E-EE8994144FE6}"/>
            </c:ext>
          </c:extLst>
        </c:ser>
        <c:ser>
          <c:idx val="24"/>
          <c:order val="24"/>
          <c:tx>
            <c:strRef>
              <c:f>'Hotspot Calcs'!$B$27</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Calcs'!$I$27</c:f>
              <c:numCache>
                <c:formatCode>0%</c:formatCode>
                <c:ptCount val="1"/>
                <c:pt idx="0">
                  <c:v>-10</c:v>
                </c:pt>
              </c:numCache>
            </c:numRef>
          </c:xVal>
          <c:yVal>
            <c:numRef>
              <c:f>'Hotspot Calcs'!$H$27</c:f>
              <c:numCache>
                <c:formatCode>0%</c:formatCode>
                <c:ptCount val="1"/>
                <c:pt idx="0">
                  <c:v>0</c:v>
                </c:pt>
              </c:numCache>
            </c:numRef>
          </c:yVal>
          <c:smooth val="0"/>
          <c:extLst>
            <c:ext xmlns:c16="http://schemas.microsoft.com/office/drawing/2014/chart" uri="{C3380CC4-5D6E-409C-BE32-E72D297353CC}">
              <c16:uniqueId val="{00000018-5A48-4B85-952E-EE8994144FE6}"/>
            </c:ext>
          </c:extLst>
        </c:ser>
        <c:ser>
          <c:idx val="25"/>
          <c:order val="25"/>
          <c:tx>
            <c:strRef>
              <c:f>'Hotspot Calcs'!$B$28</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Calcs'!$I$28</c:f>
              <c:numCache>
                <c:formatCode>0%</c:formatCode>
                <c:ptCount val="1"/>
                <c:pt idx="0">
                  <c:v>-10</c:v>
                </c:pt>
              </c:numCache>
            </c:numRef>
          </c:xVal>
          <c:yVal>
            <c:numRef>
              <c:f>'Hotspot Calcs'!$H$28</c:f>
              <c:numCache>
                <c:formatCode>0%</c:formatCode>
                <c:ptCount val="1"/>
                <c:pt idx="0">
                  <c:v>0</c:v>
                </c:pt>
              </c:numCache>
            </c:numRef>
          </c:yVal>
          <c:smooth val="0"/>
          <c:extLst>
            <c:ext xmlns:c16="http://schemas.microsoft.com/office/drawing/2014/chart" uri="{C3380CC4-5D6E-409C-BE32-E72D297353CC}">
              <c16:uniqueId val="{00000019-5A48-4B85-952E-EE8994144FE6}"/>
            </c:ext>
          </c:extLst>
        </c:ser>
        <c:ser>
          <c:idx val="26"/>
          <c:order val="26"/>
          <c:tx>
            <c:strRef>
              <c:f>'Hotspot Calcs'!$B$29</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Calcs'!$I$29</c:f>
              <c:numCache>
                <c:formatCode>0%</c:formatCode>
                <c:ptCount val="1"/>
                <c:pt idx="0">
                  <c:v>-10</c:v>
                </c:pt>
              </c:numCache>
            </c:numRef>
          </c:xVal>
          <c:yVal>
            <c:numRef>
              <c:f>'Hotspot Calcs'!$H$29</c:f>
              <c:numCache>
                <c:formatCode>0%</c:formatCode>
                <c:ptCount val="1"/>
                <c:pt idx="0">
                  <c:v>0</c:v>
                </c:pt>
              </c:numCache>
            </c:numRef>
          </c:yVal>
          <c:smooth val="0"/>
          <c:extLst>
            <c:ext xmlns:c16="http://schemas.microsoft.com/office/drawing/2014/chart" uri="{C3380CC4-5D6E-409C-BE32-E72D297353CC}">
              <c16:uniqueId val="{0000001A-5A48-4B85-952E-EE8994144FE6}"/>
            </c:ext>
          </c:extLst>
        </c:ser>
        <c:ser>
          <c:idx val="27"/>
          <c:order val="27"/>
          <c:tx>
            <c:strRef>
              <c:f>'Hotspot Calcs'!$B$30</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Calcs'!$I$30</c:f>
              <c:numCache>
                <c:formatCode>0%</c:formatCode>
                <c:ptCount val="1"/>
                <c:pt idx="0">
                  <c:v>-10</c:v>
                </c:pt>
              </c:numCache>
            </c:numRef>
          </c:xVal>
          <c:yVal>
            <c:numRef>
              <c:f>'Hotspot Calcs'!$H$30</c:f>
              <c:numCache>
                <c:formatCode>0%</c:formatCode>
                <c:ptCount val="1"/>
                <c:pt idx="0">
                  <c:v>0</c:v>
                </c:pt>
              </c:numCache>
            </c:numRef>
          </c:yVal>
          <c:smooth val="0"/>
          <c:extLst>
            <c:ext xmlns:c16="http://schemas.microsoft.com/office/drawing/2014/chart" uri="{C3380CC4-5D6E-409C-BE32-E72D297353CC}">
              <c16:uniqueId val="{0000001B-5A48-4B85-952E-EE8994144FE6}"/>
            </c:ext>
          </c:extLst>
        </c:ser>
        <c:ser>
          <c:idx val="28"/>
          <c:order val="28"/>
          <c:tx>
            <c:strRef>
              <c:f>'Hotspot Calcs'!$B$31</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Calcs'!$I$31</c:f>
              <c:numCache>
                <c:formatCode>0%</c:formatCode>
                <c:ptCount val="1"/>
                <c:pt idx="0">
                  <c:v>-10</c:v>
                </c:pt>
              </c:numCache>
            </c:numRef>
          </c:xVal>
          <c:yVal>
            <c:numRef>
              <c:f>'Hotspot Calcs'!$H$31</c:f>
              <c:numCache>
                <c:formatCode>0%</c:formatCode>
                <c:ptCount val="1"/>
                <c:pt idx="0">
                  <c:v>0</c:v>
                </c:pt>
              </c:numCache>
            </c:numRef>
          </c:yVal>
          <c:smooth val="0"/>
          <c:extLst>
            <c:ext xmlns:c16="http://schemas.microsoft.com/office/drawing/2014/chart" uri="{C3380CC4-5D6E-409C-BE32-E72D297353CC}">
              <c16:uniqueId val="{0000001C-5A48-4B85-952E-EE8994144FE6}"/>
            </c:ext>
          </c:extLst>
        </c:ser>
        <c:ser>
          <c:idx val="29"/>
          <c:order val="29"/>
          <c:tx>
            <c:strRef>
              <c:f>'Hotspot Calcs'!$B$32</c:f>
              <c:strCache>
                <c:ptCount val="1"/>
              </c:strCache>
            </c:strRef>
          </c:tx>
          <c:spPr>
            <a:ln w="25400" cap="rnd">
              <a:noFill/>
              <a:round/>
            </a:ln>
            <a:effectLst/>
          </c:spPr>
          <c:marker>
            <c:symbol val="circle"/>
            <c:size val="10"/>
            <c:spPr>
              <a:solidFill>
                <a:srgbClr val="BD9CFF"/>
              </a:solidFill>
              <a:ln w="9525">
                <a:solidFill>
                  <a:srgbClr val="2B286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2B2869"/>
                    </a:solidFill>
                    <a:latin typeface="Work Sans" pitchFamily="2"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Calcs'!$I$32</c:f>
              <c:numCache>
                <c:formatCode>0%</c:formatCode>
                <c:ptCount val="1"/>
                <c:pt idx="0">
                  <c:v>-10</c:v>
                </c:pt>
              </c:numCache>
            </c:numRef>
          </c:xVal>
          <c:yVal>
            <c:numRef>
              <c:f>'Hotspot Calcs'!$H$32</c:f>
              <c:numCache>
                <c:formatCode>0%</c:formatCode>
                <c:ptCount val="1"/>
                <c:pt idx="0">
                  <c:v>0</c:v>
                </c:pt>
              </c:numCache>
            </c:numRef>
          </c:yVal>
          <c:smooth val="0"/>
          <c:extLst>
            <c:ext xmlns:c16="http://schemas.microsoft.com/office/drawing/2014/chart" uri="{C3380CC4-5D6E-409C-BE32-E72D297353CC}">
              <c16:uniqueId val="{0000001D-5A48-4B85-952E-EE8994144FE6}"/>
            </c:ext>
          </c:extLst>
        </c:ser>
        <c:dLbls>
          <c:showLegendKey val="0"/>
          <c:showVal val="0"/>
          <c:showCatName val="0"/>
          <c:showSerName val="0"/>
          <c:showPercent val="0"/>
          <c:showBubbleSize val="0"/>
        </c:dLbls>
        <c:axId val="2095865952"/>
        <c:axId val="20935407"/>
      </c:scatterChart>
      <c:valAx>
        <c:axId val="2095865952"/>
        <c:scaling>
          <c:orientation val="minMax"/>
          <c:max val="1"/>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r>
                  <a:rPr lang="en-US"/>
                  <a:t>MCI</a:t>
                </a:r>
              </a:p>
            </c:rich>
          </c:tx>
          <c:overlay val="0"/>
          <c:spPr>
            <a:noFill/>
            <a:ln>
              <a:noFill/>
            </a:ln>
            <a:effectLst/>
          </c:spPr>
          <c:txPr>
            <a:bodyPr rot="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crossAx val="20935407"/>
        <c:crosses val="autoZero"/>
        <c:crossBetween val="midCat"/>
        <c:majorUnit val="0.1"/>
      </c:valAx>
      <c:valAx>
        <c:axId val="20935407"/>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r>
                  <a:rPr lang="en-US"/>
                  <a:t>% Total Material Cost</a:t>
                </a:r>
              </a:p>
            </c:rich>
          </c:tx>
          <c:overlay val="0"/>
          <c:spPr>
            <a:noFill/>
            <a:ln>
              <a:noFill/>
            </a:ln>
            <a:effectLst/>
          </c:spPr>
          <c:txPr>
            <a:bodyPr rot="-540000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rgbClr val="2B2869"/>
                </a:solidFill>
                <a:latin typeface="Work Sans" pitchFamily="2" charset="0"/>
                <a:ea typeface="+mn-ea"/>
                <a:cs typeface="+mn-cs"/>
              </a:defRPr>
            </a:pPr>
            <a:endParaRPr lang="en-US"/>
          </a:p>
        </c:txPr>
        <c:crossAx val="20958659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solidFill>
            <a:srgbClr val="2B2869"/>
          </a:solidFill>
          <a:latin typeface="Work Sans" pitchFamily="2"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0" i="0" u="none" strike="noStrike" kern="1200" spc="0" baseline="0">
                <a:solidFill>
                  <a:srgbClr val="2B2869"/>
                </a:solidFill>
                <a:latin typeface="Work Sans" pitchFamily="2" charset="0"/>
                <a:ea typeface="+mn-ea"/>
                <a:cs typeface="+mn-cs"/>
              </a:defRPr>
            </a:pPr>
            <a:r>
              <a:rPr lang="en-NZ"/>
              <a:t>Circularity Assessment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2B2869"/>
              </a:solidFill>
              <a:latin typeface="Work Sans" pitchFamily="2" charset="0"/>
              <a:ea typeface="+mn-ea"/>
              <a:cs typeface="+mn-cs"/>
            </a:defRPr>
          </a:pPr>
          <a:endParaRPr lang="en-US"/>
        </a:p>
      </c:txPr>
    </c:title>
    <c:autoTitleDeleted val="0"/>
    <c:plotArea>
      <c:layout/>
      <c:barChart>
        <c:barDir val="bar"/>
        <c:grouping val="stacked"/>
        <c:varyColors val="0"/>
        <c:ser>
          <c:idx val="0"/>
          <c:order val="0"/>
          <c:tx>
            <c:strRef>
              <c:f>'MCI Calculator'!$AA$10:$AA$11</c:f>
              <c:strCache>
                <c:ptCount val="2"/>
                <c:pt idx="0">
                  <c:v>Raw Material Decoupling</c:v>
                </c:pt>
              </c:strCache>
            </c:strRef>
          </c:tx>
          <c:spPr>
            <a:solidFill>
              <a:srgbClr val="2B2869"/>
            </a:solidFill>
            <a:ln>
              <a:noFill/>
            </a:ln>
            <a:effectLst/>
          </c:spPr>
          <c:invertIfNegative val="0"/>
          <c:cat>
            <c:strRef>
              <c:f>'MCI Calculator'!$B$12:$B$42</c:f>
              <c:strCache>
                <c:ptCount val="31"/>
                <c:pt idx="0">
                  <c:v>Foundation</c:v>
                </c:pt>
                <c:pt idx="1">
                  <c:v>Structural Columns</c:v>
                </c:pt>
                <c:pt idx="2">
                  <c:v>Floor Beams</c:v>
                </c:pt>
                <c:pt idx="3">
                  <c:v>Roof Beams</c:v>
                </c:pt>
                <c:pt idx="4">
                  <c:v>External wall panels</c:v>
                </c:pt>
                <c:pt idx="5">
                  <c:v>Internal wall panels</c:v>
                </c:pt>
                <c:pt idx="6">
                  <c:v>Flooring Sheets</c:v>
                </c:pt>
                <c:pt idx="7">
                  <c:v>Roof Tiles</c:v>
                </c:pt>
                <c:pt idx="30">
                  <c:v>Product Total</c:v>
                </c:pt>
              </c:strCache>
            </c:strRef>
          </c:cat>
          <c:val>
            <c:numRef>
              <c:f>'MCI Calculator'!$AA$12:$AA$42</c:f>
              <c:numCache>
                <c:formatCode>0.0%</c:formatCode>
                <c:ptCount val="31"/>
                <c:pt idx="0">
                  <c:v>0</c:v>
                </c:pt>
                <c:pt idx="1">
                  <c:v>0.17499999999999999</c:v>
                </c:pt>
                <c:pt idx="2">
                  <c:v>0.17499999999999999</c:v>
                </c:pt>
                <c:pt idx="3">
                  <c:v>0.5</c:v>
                </c:pt>
                <c:pt idx="4">
                  <c:v>0</c:v>
                </c:pt>
                <c:pt idx="5">
                  <c:v>0</c:v>
                </c:pt>
                <c:pt idx="6">
                  <c:v>0.5</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0.17648809523809522</c:v>
                </c:pt>
              </c:numCache>
            </c:numRef>
          </c:val>
          <c:extLst>
            <c:ext xmlns:c16="http://schemas.microsoft.com/office/drawing/2014/chart" uri="{C3380CC4-5D6E-409C-BE32-E72D297353CC}">
              <c16:uniqueId val="{00000000-A07C-4C42-B2EB-D62D3F4F2DBB}"/>
            </c:ext>
          </c:extLst>
        </c:ser>
        <c:ser>
          <c:idx val="1"/>
          <c:order val="1"/>
          <c:tx>
            <c:strRef>
              <c:f>'MCI Calculator'!$AB$10:$AB$11</c:f>
              <c:strCache>
                <c:ptCount val="2"/>
                <c:pt idx="0">
                  <c:v>Waste Decoupling</c:v>
                </c:pt>
              </c:strCache>
            </c:strRef>
          </c:tx>
          <c:spPr>
            <a:solidFill>
              <a:srgbClr val="BD9CFF"/>
            </a:solidFill>
            <a:ln>
              <a:noFill/>
            </a:ln>
            <a:effectLst/>
          </c:spPr>
          <c:invertIfNegative val="0"/>
          <c:cat>
            <c:strRef>
              <c:f>'MCI Calculator'!$B$12:$B$42</c:f>
              <c:strCache>
                <c:ptCount val="31"/>
                <c:pt idx="0">
                  <c:v>Foundation</c:v>
                </c:pt>
                <c:pt idx="1">
                  <c:v>Structural Columns</c:v>
                </c:pt>
                <c:pt idx="2">
                  <c:v>Floor Beams</c:v>
                </c:pt>
                <c:pt idx="3">
                  <c:v>Roof Beams</c:v>
                </c:pt>
                <c:pt idx="4">
                  <c:v>External wall panels</c:v>
                </c:pt>
                <c:pt idx="5">
                  <c:v>Internal wall panels</c:v>
                </c:pt>
                <c:pt idx="6">
                  <c:v>Flooring Sheets</c:v>
                </c:pt>
                <c:pt idx="7">
                  <c:v>Roof Tiles</c:v>
                </c:pt>
                <c:pt idx="30">
                  <c:v>Product Total</c:v>
                </c:pt>
              </c:strCache>
            </c:strRef>
          </c:cat>
          <c:val>
            <c:numRef>
              <c:f>'MCI Calculator'!$AB$12:$AB$42</c:f>
              <c:numCache>
                <c:formatCode>0.0%</c:formatCode>
                <c:ptCount val="31"/>
                <c:pt idx="0">
                  <c:v>4.4999999999999984E-2</c:v>
                </c:pt>
                <c:pt idx="1">
                  <c:v>0.5</c:v>
                </c:pt>
                <c:pt idx="2">
                  <c:v>0.4</c:v>
                </c:pt>
                <c:pt idx="3">
                  <c:v>0.5</c:v>
                </c:pt>
                <c:pt idx="4">
                  <c:v>4.4999999999999984E-2</c:v>
                </c:pt>
                <c:pt idx="5">
                  <c:v>0.25</c:v>
                </c:pt>
                <c:pt idx="6">
                  <c:v>0.22499999999999998</c:v>
                </c:pt>
                <c:pt idx="7">
                  <c:v>4.9999999999999989E-2</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0.34788690476190476</c:v>
                </c:pt>
              </c:numCache>
            </c:numRef>
          </c:val>
          <c:extLst>
            <c:ext xmlns:c16="http://schemas.microsoft.com/office/drawing/2014/chart" uri="{C3380CC4-5D6E-409C-BE32-E72D297353CC}">
              <c16:uniqueId val="{00000001-A07C-4C42-B2EB-D62D3F4F2DBB}"/>
            </c:ext>
          </c:extLst>
        </c:ser>
        <c:ser>
          <c:idx val="2"/>
          <c:order val="2"/>
          <c:tx>
            <c:strRef>
              <c:f>'MCI Calculator'!$AC$10:$AC$11</c:f>
              <c:strCache>
                <c:ptCount val="2"/>
                <c:pt idx="0">
                  <c:v>Enhanced Utility</c:v>
                </c:pt>
              </c:strCache>
            </c:strRef>
          </c:tx>
          <c:spPr>
            <a:solidFill>
              <a:srgbClr val="DECDFF"/>
            </a:solidFill>
            <a:ln>
              <a:noFill/>
            </a:ln>
            <a:effectLst/>
          </c:spPr>
          <c:invertIfNegative val="0"/>
          <c:cat>
            <c:strRef>
              <c:f>'MCI Calculator'!$B$12:$B$42</c:f>
              <c:strCache>
                <c:ptCount val="31"/>
                <c:pt idx="0">
                  <c:v>Foundation</c:v>
                </c:pt>
                <c:pt idx="1">
                  <c:v>Structural Columns</c:v>
                </c:pt>
                <c:pt idx="2">
                  <c:v>Floor Beams</c:v>
                </c:pt>
                <c:pt idx="3">
                  <c:v>Roof Beams</c:v>
                </c:pt>
                <c:pt idx="4">
                  <c:v>External wall panels</c:v>
                </c:pt>
                <c:pt idx="5">
                  <c:v>Internal wall panels</c:v>
                </c:pt>
                <c:pt idx="6">
                  <c:v>Flooring Sheets</c:v>
                </c:pt>
                <c:pt idx="7">
                  <c:v>Roof Tiles</c:v>
                </c:pt>
                <c:pt idx="30">
                  <c:v>Product Total</c:v>
                </c:pt>
              </c:strCache>
            </c:strRef>
          </c:cat>
          <c:val>
            <c:numRef>
              <c:f>'MCI Calculator'!$AC$12:$AC$42</c:f>
              <c:numCache>
                <c:formatCode>0.0%</c:formatCode>
                <c:ptCount val="31"/>
                <c:pt idx="0">
                  <c:v>0.47749999999999998</c:v>
                </c:pt>
                <c:pt idx="1">
                  <c:v>0</c:v>
                </c:pt>
                <c:pt idx="2">
                  <c:v>-5.5511151231257827E-17</c:v>
                </c:pt>
                <c:pt idx="3">
                  <c:v>0</c:v>
                </c:pt>
                <c:pt idx="4">
                  <c:v>1.3877787807814457E-17</c:v>
                </c:pt>
                <c:pt idx="5">
                  <c:v>0</c:v>
                </c:pt>
                <c:pt idx="6">
                  <c:v>0</c:v>
                </c:pt>
                <c:pt idx="7">
                  <c:v>1.3877787807814457E-17</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4.2633928571428552E-2</c:v>
                </c:pt>
              </c:numCache>
            </c:numRef>
          </c:val>
          <c:extLst>
            <c:ext xmlns:c16="http://schemas.microsoft.com/office/drawing/2014/chart" uri="{C3380CC4-5D6E-409C-BE32-E72D297353CC}">
              <c16:uniqueId val="{00000002-A07C-4C42-B2EB-D62D3F4F2DBB}"/>
            </c:ext>
          </c:extLst>
        </c:ser>
        <c:ser>
          <c:idx val="3"/>
          <c:order val="3"/>
          <c:tx>
            <c:strRef>
              <c:f>'MCI Calculator'!$AD$10:$AD$11</c:f>
              <c:strCache>
                <c:ptCount val="2"/>
                <c:pt idx="0">
                  <c:v>Circularity Gap</c:v>
                </c:pt>
              </c:strCache>
            </c:strRef>
          </c:tx>
          <c:spPr>
            <a:noFill/>
            <a:ln>
              <a:solidFill>
                <a:schemeClr val="bg1">
                  <a:lumMod val="85000"/>
                </a:schemeClr>
              </a:solidFill>
            </a:ln>
            <a:effectLst/>
          </c:spPr>
          <c:invertIfNegative val="0"/>
          <c:cat>
            <c:strRef>
              <c:f>'MCI Calculator'!$B$12:$B$42</c:f>
              <c:strCache>
                <c:ptCount val="31"/>
                <c:pt idx="0">
                  <c:v>Foundation</c:v>
                </c:pt>
                <c:pt idx="1">
                  <c:v>Structural Columns</c:v>
                </c:pt>
                <c:pt idx="2">
                  <c:v>Floor Beams</c:v>
                </c:pt>
                <c:pt idx="3">
                  <c:v>Roof Beams</c:v>
                </c:pt>
                <c:pt idx="4">
                  <c:v>External wall panels</c:v>
                </c:pt>
                <c:pt idx="5">
                  <c:v>Internal wall panels</c:v>
                </c:pt>
                <c:pt idx="6">
                  <c:v>Flooring Sheets</c:v>
                </c:pt>
                <c:pt idx="7">
                  <c:v>Roof Tiles</c:v>
                </c:pt>
                <c:pt idx="30">
                  <c:v>Product Total</c:v>
                </c:pt>
              </c:strCache>
            </c:strRef>
          </c:cat>
          <c:val>
            <c:numRef>
              <c:f>'MCI Calculator'!$AD$12:$AD$42</c:f>
              <c:numCache>
                <c:formatCode>0.0%</c:formatCode>
                <c:ptCount val="31"/>
                <c:pt idx="0">
                  <c:v>0.47750000000000004</c:v>
                </c:pt>
                <c:pt idx="1">
                  <c:v>0.32499999999999996</c:v>
                </c:pt>
                <c:pt idx="2">
                  <c:v>0.42500000000000004</c:v>
                </c:pt>
                <c:pt idx="3">
                  <c:v>0</c:v>
                </c:pt>
                <c:pt idx="4">
                  <c:v>0.95499999999999996</c:v>
                </c:pt>
                <c:pt idx="5">
                  <c:v>0.75</c:v>
                </c:pt>
                <c:pt idx="6">
                  <c:v>0.27500000000000002</c:v>
                </c:pt>
                <c:pt idx="7">
                  <c:v>0.95</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0.43299107142857141</c:v>
                </c:pt>
              </c:numCache>
            </c:numRef>
          </c:val>
          <c:extLst>
            <c:ext xmlns:c16="http://schemas.microsoft.com/office/drawing/2014/chart" uri="{C3380CC4-5D6E-409C-BE32-E72D297353CC}">
              <c16:uniqueId val="{00000003-A07C-4C42-B2EB-D62D3F4F2DBB}"/>
            </c:ext>
          </c:extLst>
        </c:ser>
        <c:dLbls>
          <c:showLegendKey val="0"/>
          <c:showVal val="0"/>
          <c:showCatName val="0"/>
          <c:showSerName val="0"/>
          <c:showPercent val="0"/>
          <c:showBubbleSize val="0"/>
        </c:dLbls>
        <c:gapWidth val="150"/>
        <c:overlap val="100"/>
        <c:axId val="1197442592"/>
        <c:axId val="1152796496"/>
      </c:barChart>
      <c:catAx>
        <c:axId val="1197442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2B2869"/>
                </a:solidFill>
                <a:latin typeface="Work Sans" pitchFamily="2" charset="0"/>
                <a:ea typeface="+mn-ea"/>
                <a:cs typeface="+mn-cs"/>
              </a:defRPr>
            </a:pPr>
            <a:endParaRPr lang="en-US"/>
          </a:p>
        </c:txPr>
        <c:crossAx val="1152796496"/>
        <c:crosses val="autoZero"/>
        <c:auto val="1"/>
        <c:lblAlgn val="ctr"/>
        <c:lblOffset val="100"/>
        <c:noMultiLvlLbl val="0"/>
      </c:catAx>
      <c:valAx>
        <c:axId val="1152796496"/>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2B2869"/>
                </a:solidFill>
                <a:latin typeface="Work Sans" pitchFamily="2" charset="0"/>
                <a:ea typeface="+mn-ea"/>
                <a:cs typeface="+mn-cs"/>
              </a:defRPr>
            </a:pPr>
            <a:endParaRPr lang="en-US"/>
          </a:p>
        </c:txPr>
        <c:crossAx val="1197442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2B2869"/>
              </a:solidFill>
              <a:latin typeface="Work Sans"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rgbClr val="2B2869"/>
          </a:solidFill>
          <a:latin typeface="Work Sans" pitchFamily="2" charset="0"/>
        </a:defRPr>
      </a:pPr>
      <a:endParaRPr lang="en-US"/>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0" i="0" u="none" strike="noStrike" kern="1200" spc="0" baseline="0">
                <a:solidFill>
                  <a:srgbClr val="2B2869"/>
                </a:solidFill>
                <a:latin typeface="Work Sans" pitchFamily="2" charset="0"/>
                <a:ea typeface="+mn-ea"/>
                <a:cs typeface="+mn-cs"/>
              </a:defRPr>
            </a:pPr>
            <a:r>
              <a:rPr lang="en-NZ"/>
              <a:t>Linear to Circular Flows (Mass)</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2B2869"/>
              </a:solidFill>
              <a:latin typeface="Work Sans" pitchFamily="2" charset="0"/>
              <a:ea typeface="+mn-ea"/>
              <a:cs typeface="+mn-cs"/>
            </a:defRPr>
          </a:pPr>
          <a:endParaRPr lang="en-US"/>
        </a:p>
      </c:txPr>
    </c:title>
    <c:autoTitleDeleted val="0"/>
    <c:plotArea>
      <c:layout/>
      <c:barChart>
        <c:barDir val="bar"/>
        <c:grouping val="clustered"/>
        <c:varyColors val="0"/>
        <c:ser>
          <c:idx val="0"/>
          <c:order val="0"/>
          <c:tx>
            <c:strRef>
              <c:f>'MCI Calculator'!$AG$9</c:f>
              <c:strCache>
                <c:ptCount val="1"/>
                <c:pt idx="0">
                  <c:v>Circular Mass</c:v>
                </c:pt>
              </c:strCache>
            </c:strRef>
          </c:tx>
          <c:spPr>
            <a:solidFill>
              <a:srgbClr val="2B2869"/>
            </a:solidFill>
            <a:ln>
              <a:solidFill>
                <a:srgbClr val="2B2869"/>
              </a:solidFill>
            </a:ln>
            <a:effectLst/>
          </c:spPr>
          <c:invertIfNegative val="0"/>
          <c:cat>
            <c:strRef>
              <c:f>'MCI Calculator'!$B$12:$B$42</c:f>
              <c:strCache>
                <c:ptCount val="31"/>
                <c:pt idx="0">
                  <c:v>Foundation</c:v>
                </c:pt>
                <c:pt idx="1">
                  <c:v>Structural Columns</c:v>
                </c:pt>
                <c:pt idx="2">
                  <c:v>Floor Beams</c:v>
                </c:pt>
                <c:pt idx="3">
                  <c:v>Roof Beams</c:v>
                </c:pt>
                <c:pt idx="4">
                  <c:v>External wall panels</c:v>
                </c:pt>
                <c:pt idx="5">
                  <c:v>Internal wall panels</c:v>
                </c:pt>
                <c:pt idx="6">
                  <c:v>Flooring Sheets</c:v>
                </c:pt>
                <c:pt idx="7">
                  <c:v>Roof Tiles</c:v>
                </c:pt>
                <c:pt idx="30">
                  <c:v>Product Total</c:v>
                </c:pt>
              </c:strCache>
            </c:strRef>
          </c:cat>
          <c:val>
            <c:numRef>
              <c:f>'MCI Calculator'!$AG$12:$AG$42</c:f>
              <c:numCache>
                <c:formatCode>_(* #,##0.00_);_(* \(#,##0.00\);_(* "-"??_);_(@_)</c:formatCode>
                <c:ptCount val="31"/>
                <c:pt idx="0">
                  <c:v>3918.7499999999995</c:v>
                </c:pt>
                <c:pt idx="1">
                  <c:v>16875</c:v>
                </c:pt>
                <c:pt idx="2">
                  <c:v>13799.999999999998</c:v>
                </c:pt>
                <c:pt idx="3">
                  <c:v>7500</c:v>
                </c:pt>
                <c:pt idx="4">
                  <c:v>360</c:v>
                </c:pt>
                <c:pt idx="5">
                  <c:v>1500</c:v>
                </c:pt>
                <c:pt idx="6">
                  <c:v>3625</c:v>
                </c:pt>
                <c:pt idx="7">
                  <c:v>50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47628.75</c:v>
                </c:pt>
              </c:numCache>
            </c:numRef>
          </c:val>
          <c:extLst>
            <c:ext xmlns:c16="http://schemas.microsoft.com/office/drawing/2014/chart" uri="{C3380CC4-5D6E-409C-BE32-E72D297353CC}">
              <c16:uniqueId val="{00000000-C23C-411F-B230-8D80190163C4}"/>
            </c:ext>
          </c:extLst>
        </c:ser>
        <c:ser>
          <c:idx val="1"/>
          <c:order val="1"/>
          <c:tx>
            <c:strRef>
              <c:f>'MCI Calculator'!$AH$9</c:f>
              <c:strCache>
                <c:ptCount val="1"/>
                <c:pt idx="0">
                  <c:v>Linear Mass</c:v>
                </c:pt>
              </c:strCache>
            </c:strRef>
          </c:tx>
          <c:spPr>
            <a:solidFill>
              <a:srgbClr val="DECDFF"/>
            </a:solidFill>
            <a:ln>
              <a:solidFill>
                <a:srgbClr val="DECDFF"/>
              </a:solidFill>
            </a:ln>
            <a:effectLst/>
          </c:spPr>
          <c:invertIfNegative val="0"/>
          <c:cat>
            <c:strRef>
              <c:f>'MCI Calculator'!$B$12:$B$42</c:f>
              <c:strCache>
                <c:ptCount val="31"/>
                <c:pt idx="0">
                  <c:v>Foundation</c:v>
                </c:pt>
                <c:pt idx="1">
                  <c:v>Structural Columns</c:v>
                </c:pt>
                <c:pt idx="2">
                  <c:v>Floor Beams</c:v>
                </c:pt>
                <c:pt idx="3">
                  <c:v>Roof Beams</c:v>
                </c:pt>
                <c:pt idx="4">
                  <c:v>External wall panels</c:v>
                </c:pt>
                <c:pt idx="5">
                  <c:v>Internal wall panels</c:v>
                </c:pt>
                <c:pt idx="6">
                  <c:v>Flooring Sheets</c:v>
                </c:pt>
                <c:pt idx="7">
                  <c:v>Roof Tiles</c:v>
                </c:pt>
                <c:pt idx="30">
                  <c:v>Product Total</c:v>
                </c:pt>
              </c:strCache>
            </c:strRef>
          </c:cat>
          <c:val>
            <c:numRef>
              <c:f>'MCI Calculator'!$AH$12:$AH$42</c:f>
              <c:numCache>
                <c:formatCode>_(* #,##0.00_);_(* \(#,##0.00\);_(* "-"??_);_(@_)</c:formatCode>
                <c:ptCount val="31"/>
                <c:pt idx="0">
                  <c:v>-3581.2500000000005</c:v>
                </c:pt>
                <c:pt idx="1">
                  <c:v>-8124.9999999999991</c:v>
                </c:pt>
                <c:pt idx="2">
                  <c:v>-10200.000000000002</c:v>
                </c:pt>
                <c:pt idx="3">
                  <c:v>0</c:v>
                </c:pt>
                <c:pt idx="4">
                  <c:v>-7640</c:v>
                </c:pt>
                <c:pt idx="5">
                  <c:v>-4500</c:v>
                </c:pt>
                <c:pt idx="6">
                  <c:v>-1375</c:v>
                </c:pt>
                <c:pt idx="7">
                  <c:v>-950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-36371.25</c:v>
                </c:pt>
              </c:numCache>
            </c:numRef>
          </c:val>
          <c:extLst>
            <c:ext xmlns:c16="http://schemas.microsoft.com/office/drawing/2014/chart" uri="{C3380CC4-5D6E-409C-BE32-E72D297353CC}">
              <c16:uniqueId val="{00000001-C23C-411F-B230-8D80190163C4}"/>
            </c:ext>
          </c:extLst>
        </c:ser>
        <c:dLbls>
          <c:showLegendKey val="0"/>
          <c:showVal val="0"/>
          <c:showCatName val="0"/>
          <c:showSerName val="0"/>
          <c:showPercent val="0"/>
          <c:showBubbleSize val="0"/>
        </c:dLbls>
        <c:gapWidth val="182"/>
        <c:overlap val="100"/>
        <c:axId val="50061136"/>
        <c:axId val="1911319232"/>
      </c:barChart>
      <c:catAx>
        <c:axId val="50061136"/>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2B2869"/>
                </a:solidFill>
                <a:latin typeface="Work Sans" pitchFamily="2" charset="0"/>
                <a:ea typeface="+mn-ea"/>
                <a:cs typeface="+mn-cs"/>
              </a:defRPr>
            </a:pPr>
            <a:endParaRPr lang="en-US"/>
          </a:p>
        </c:txPr>
        <c:crossAx val="1911319232"/>
        <c:crossesAt val="0"/>
        <c:auto val="1"/>
        <c:lblAlgn val="ctr"/>
        <c:lblOffset val="100"/>
        <c:noMultiLvlLbl val="0"/>
      </c:catAx>
      <c:valAx>
        <c:axId val="1911319232"/>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rgbClr val="2B2869"/>
                    </a:solidFill>
                    <a:latin typeface="Work Sans" pitchFamily="2" charset="0"/>
                    <a:ea typeface="+mn-ea"/>
                    <a:cs typeface="+mn-cs"/>
                  </a:defRPr>
                </a:pPr>
                <a:r>
                  <a:rPr lang="en-NZ"/>
                  <a:t>←Linear Mass I Circular Mass →</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2B2869"/>
                  </a:solidFill>
                  <a:latin typeface="Work Sans" pitchFamily="2"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2B2869"/>
                </a:solidFill>
                <a:latin typeface="Work Sans" pitchFamily="2" charset="0"/>
                <a:ea typeface="+mn-ea"/>
                <a:cs typeface="+mn-cs"/>
              </a:defRPr>
            </a:pPr>
            <a:endParaRPr lang="en-US"/>
          </a:p>
        </c:txPr>
        <c:crossAx val="50061136"/>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rgbClr val="2B2869"/>
          </a:solidFill>
          <a:latin typeface="Work Sans" pitchFamily="2" charset="0"/>
        </a:defRPr>
      </a:pPr>
      <a:endParaRPr lang="en-US"/>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'Hotspot Calcs'!$B$3</c:f>
              <c:strCache>
                <c:ptCount val="1"/>
                <c:pt idx="0">
                  <c:v>Foundation</c:v>
                </c:pt>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Calcs'!$I$3</c:f>
              <c:numCache>
                <c:formatCode>0%</c:formatCode>
                <c:ptCount val="1"/>
                <c:pt idx="0">
                  <c:v>0.52249999999999996</c:v>
                </c:pt>
              </c:numCache>
            </c:numRef>
          </c:xVal>
          <c:yVal>
            <c:numRef>
              <c:f>'Hotspot Calcs'!$F$3</c:f>
              <c:numCache>
                <c:formatCode>0%</c:formatCode>
                <c:ptCount val="1"/>
                <c:pt idx="0">
                  <c:v>7.4257425742574254E-3</c:v>
                </c:pt>
              </c:numCache>
            </c:numRef>
          </c:yVal>
          <c:smooth val="0"/>
          <c:extLst>
            <c:ext xmlns:c16="http://schemas.microsoft.com/office/drawing/2014/chart" uri="{C3380CC4-5D6E-409C-BE32-E72D297353CC}">
              <c16:uniqueId val="{00000000-496B-CA4D-8A5F-8BC1A505E39A}"/>
            </c:ext>
          </c:extLst>
        </c:ser>
        <c:ser>
          <c:idx val="1"/>
          <c:order val="1"/>
          <c:tx>
            <c:strRef>
              <c:f>'Hotspot Calcs'!$B$4</c:f>
              <c:strCache>
                <c:ptCount val="1"/>
                <c:pt idx="0">
                  <c:v>Structural Columns</c:v>
                </c:pt>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Calcs'!$I$4</c:f>
              <c:numCache>
                <c:formatCode>0%</c:formatCode>
                <c:ptCount val="1"/>
                <c:pt idx="0">
                  <c:v>0.67500000000000004</c:v>
                </c:pt>
              </c:numCache>
            </c:numRef>
          </c:xVal>
          <c:yVal>
            <c:numRef>
              <c:f>'Hotspot Calcs'!$F$4</c:f>
              <c:numCache>
                <c:formatCode>0%</c:formatCode>
                <c:ptCount val="1"/>
                <c:pt idx="0">
                  <c:v>0.44554455445544555</c:v>
                </c:pt>
              </c:numCache>
            </c:numRef>
          </c:yVal>
          <c:smooth val="0"/>
          <c:extLst>
            <c:ext xmlns:c16="http://schemas.microsoft.com/office/drawing/2014/chart" uri="{C3380CC4-5D6E-409C-BE32-E72D297353CC}">
              <c16:uniqueId val="{00000002-496B-CA4D-8A5F-8BC1A505E39A}"/>
            </c:ext>
          </c:extLst>
        </c:ser>
        <c:ser>
          <c:idx val="2"/>
          <c:order val="2"/>
          <c:tx>
            <c:strRef>
              <c:f>'Hotspot Calcs'!$B$5</c:f>
              <c:strCache>
                <c:ptCount val="1"/>
                <c:pt idx="0">
                  <c:v>Floor Beams</c:v>
                </c:pt>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Calcs'!$I$5</c:f>
              <c:numCache>
                <c:formatCode>0%</c:formatCode>
                <c:ptCount val="1"/>
                <c:pt idx="0">
                  <c:v>0.57499999999999996</c:v>
                </c:pt>
              </c:numCache>
            </c:numRef>
          </c:xVal>
          <c:yVal>
            <c:numRef>
              <c:f>'Hotspot Calcs'!$F$5</c:f>
              <c:numCache>
                <c:formatCode>0%</c:formatCode>
                <c:ptCount val="1"/>
                <c:pt idx="0">
                  <c:v>0.42772277227722771</c:v>
                </c:pt>
              </c:numCache>
            </c:numRef>
          </c:yVal>
          <c:smooth val="0"/>
          <c:extLst>
            <c:ext xmlns:c16="http://schemas.microsoft.com/office/drawing/2014/chart" uri="{C3380CC4-5D6E-409C-BE32-E72D297353CC}">
              <c16:uniqueId val="{00000003-496B-CA4D-8A5F-8BC1A505E39A}"/>
            </c:ext>
          </c:extLst>
        </c:ser>
        <c:ser>
          <c:idx val="3"/>
          <c:order val="3"/>
          <c:tx>
            <c:strRef>
              <c:f>'Hotspot Calcs'!$B$6</c:f>
              <c:strCache>
                <c:ptCount val="1"/>
                <c:pt idx="0">
                  <c:v>Roof Beams</c:v>
                </c:pt>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Calcs'!$I$6</c:f>
              <c:numCache>
                <c:formatCode>0%</c:formatCode>
                <c:ptCount val="1"/>
                <c:pt idx="0">
                  <c:v>1</c:v>
                </c:pt>
              </c:numCache>
            </c:numRef>
          </c:xVal>
          <c:yVal>
            <c:numRef>
              <c:f>'Hotspot Calcs'!$F$5</c:f>
              <c:numCache>
                <c:formatCode>0%</c:formatCode>
                <c:ptCount val="1"/>
                <c:pt idx="0">
                  <c:v>0.42772277227722771</c:v>
                </c:pt>
              </c:numCache>
            </c:numRef>
          </c:yVal>
          <c:smooth val="0"/>
          <c:extLst>
            <c:ext xmlns:c16="http://schemas.microsoft.com/office/drawing/2014/chart" uri="{C3380CC4-5D6E-409C-BE32-E72D297353CC}">
              <c16:uniqueId val="{00000004-496B-CA4D-8A5F-8BC1A505E39A}"/>
            </c:ext>
          </c:extLst>
        </c:ser>
        <c:ser>
          <c:idx val="4"/>
          <c:order val="4"/>
          <c:tx>
            <c:strRef>
              <c:f>'Hotspot Calcs'!$B$7</c:f>
              <c:strCache>
                <c:ptCount val="1"/>
                <c:pt idx="0">
                  <c:v>External wall panels</c:v>
                </c:pt>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Calcs'!$I$7</c:f>
              <c:numCache>
                <c:formatCode>0%</c:formatCode>
                <c:ptCount val="1"/>
                <c:pt idx="0">
                  <c:v>4.4999999999999998E-2</c:v>
                </c:pt>
              </c:numCache>
            </c:numRef>
          </c:xVal>
          <c:yVal>
            <c:numRef>
              <c:f>'Hotspot Calcs'!$F$7</c:f>
              <c:numCache>
                <c:formatCode>0%</c:formatCode>
                <c:ptCount val="1"/>
                <c:pt idx="0">
                  <c:v>7.9207920792079209E-3</c:v>
                </c:pt>
              </c:numCache>
            </c:numRef>
          </c:yVal>
          <c:smooth val="0"/>
          <c:extLst>
            <c:ext xmlns:c16="http://schemas.microsoft.com/office/drawing/2014/chart" uri="{C3380CC4-5D6E-409C-BE32-E72D297353CC}">
              <c16:uniqueId val="{00000005-496B-CA4D-8A5F-8BC1A505E39A}"/>
            </c:ext>
          </c:extLst>
        </c:ser>
        <c:ser>
          <c:idx val="5"/>
          <c:order val="5"/>
          <c:tx>
            <c:strRef>
              <c:f>'Hotspot Calcs'!$B$8</c:f>
              <c:strCache>
                <c:ptCount val="1"/>
                <c:pt idx="0">
                  <c:v>Internal wall panels</c:v>
                </c:pt>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Calcs'!$I$8</c:f>
              <c:numCache>
                <c:formatCode>0%</c:formatCode>
                <c:ptCount val="1"/>
                <c:pt idx="0">
                  <c:v>0.25</c:v>
                </c:pt>
              </c:numCache>
            </c:numRef>
          </c:xVal>
          <c:yVal>
            <c:numRef>
              <c:f>'Hotspot Calcs'!$F$8</c:f>
              <c:numCache>
                <c:formatCode>0%</c:formatCode>
                <c:ptCount val="1"/>
                <c:pt idx="0">
                  <c:v>2.3762376237623763E-2</c:v>
                </c:pt>
              </c:numCache>
            </c:numRef>
          </c:yVal>
          <c:smooth val="0"/>
          <c:extLst>
            <c:ext xmlns:c16="http://schemas.microsoft.com/office/drawing/2014/chart" uri="{C3380CC4-5D6E-409C-BE32-E72D297353CC}">
              <c16:uniqueId val="{00000006-496B-CA4D-8A5F-8BC1A505E39A}"/>
            </c:ext>
          </c:extLst>
        </c:ser>
        <c:ser>
          <c:idx val="6"/>
          <c:order val="6"/>
          <c:tx>
            <c:strRef>
              <c:f>'Hotspot Calcs'!$B$9</c:f>
              <c:strCache>
                <c:ptCount val="1"/>
                <c:pt idx="0">
                  <c:v>Flooring Sheets</c:v>
                </c:pt>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Calcs'!$I$9</c:f>
              <c:numCache>
                <c:formatCode>0%</c:formatCode>
                <c:ptCount val="1"/>
                <c:pt idx="0">
                  <c:v>0.72499999999999998</c:v>
                </c:pt>
              </c:numCache>
            </c:numRef>
          </c:xVal>
          <c:yVal>
            <c:numRef>
              <c:f>'Hotspot Calcs'!$F$9</c:f>
              <c:numCache>
                <c:formatCode>0%</c:formatCode>
                <c:ptCount val="1"/>
                <c:pt idx="0">
                  <c:v>6.4356435643564358E-2</c:v>
                </c:pt>
              </c:numCache>
            </c:numRef>
          </c:yVal>
          <c:smooth val="0"/>
          <c:extLst>
            <c:ext xmlns:c16="http://schemas.microsoft.com/office/drawing/2014/chart" uri="{C3380CC4-5D6E-409C-BE32-E72D297353CC}">
              <c16:uniqueId val="{00000007-496B-CA4D-8A5F-8BC1A505E39A}"/>
            </c:ext>
          </c:extLst>
        </c:ser>
        <c:ser>
          <c:idx val="7"/>
          <c:order val="7"/>
          <c:tx>
            <c:strRef>
              <c:f>'Hotspot Calcs'!$B$10</c:f>
              <c:strCache>
                <c:ptCount val="1"/>
                <c:pt idx="0">
                  <c:v>Roof Tiles</c:v>
                </c:pt>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Calcs'!$I$10</c:f>
              <c:numCache>
                <c:formatCode>0%</c:formatCode>
                <c:ptCount val="1"/>
                <c:pt idx="0">
                  <c:v>0.05</c:v>
                </c:pt>
              </c:numCache>
            </c:numRef>
          </c:xVal>
          <c:yVal>
            <c:numRef>
              <c:f>'Hotspot Calcs'!$F$10</c:f>
              <c:numCache>
                <c:formatCode>0%</c:formatCode>
                <c:ptCount val="1"/>
                <c:pt idx="0">
                  <c:v>9.9009900990099011E-4</c:v>
                </c:pt>
              </c:numCache>
            </c:numRef>
          </c:yVal>
          <c:smooth val="0"/>
          <c:extLst>
            <c:ext xmlns:c16="http://schemas.microsoft.com/office/drawing/2014/chart" uri="{C3380CC4-5D6E-409C-BE32-E72D297353CC}">
              <c16:uniqueId val="{00000008-496B-CA4D-8A5F-8BC1A505E39A}"/>
            </c:ext>
          </c:extLst>
        </c:ser>
        <c:ser>
          <c:idx val="8"/>
          <c:order val="8"/>
          <c:tx>
            <c:strRef>
              <c:f>'Hotspot Calcs'!$B$11</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Calcs'!$I$11</c:f>
              <c:numCache>
                <c:formatCode>0%</c:formatCode>
                <c:ptCount val="1"/>
                <c:pt idx="0">
                  <c:v>-10</c:v>
                </c:pt>
              </c:numCache>
            </c:numRef>
          </c:xVal>
          <c:yVal>
            <c:numRef>
              <c:f>'Hotspot Calcs'!$F$11</c:f>
              <c:numCache>
                <c:formatCode>0%</c:formatCode>
                <c:ptCount val="1"/>
                <c:pt idx="0">
                  <c:v>0</c:v>
                </c:pt>
              </c:numCache>
            </c:numRef>
          </c:yVal>
          <c:smooth val="0"/>
          <c:extLst>
            <c:ext xmlns:c16="http://schemas.microsoft.com/office/drawing/2014/chart" uri="{C3380CC4-5D6E-409C-BE32-E72D297353CC}">
              <c16:uniqueId val="{00000009-496B-CA4D-8A5F-8BC1A505E39A}"/>
            </c:ext>
          </c:extLst>
        </c:ser>
        <c:ser>
          <c:idx val="9"/>
          <c:order val="9"/>
          <c:tx>
            <c:strRef>
              <c:f>'Hotspot Calcs'!$B$12</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Calcs'!$I$12</c:f>
              <c:numCache>
                <c:formatCode>0%</c:formatCode>
                <c:ptCount val="1"/>
                <c:pt idx="0">
                  <c:v>-10</c:v>
                </c:pt>
              </c:numCache>
            </c:numRef>
          </c:xVal>
          <c:yVal>
            <c:numRef>
              <c:f>'Hotspot Calcs'!$F$12</c:f>
              <c:numCache>
                <c:formatCode>0%</c:formatCode>
                <c:ptCount val="1"/>
                <c:pt idx="0">
                  <c:v>0</c:v>
                </c:pt>
              </c:numCache>
            </c:numRef>
          </c:yVal>
          <c:smooth val="0"/>
          <c:extLst>
            <c:ext xmlns:c16="http://schemas.microsoft.com/office/drawing/2014/chart" uri="{C3380CC4-5D6E-409C-BE32-E72D297353CC}">
              <c16:uniqueId val="{0000000A-496B-CA4D-8A5F-8BC1A505E39A}"/>
            </c:ext>
          </c:extLst>
        </c:ser>
        <c:ser>
          <c:idx val="10"/>
          <c:order val="10"/>
          <c:tx>
            <c:strRef>
              <c:f>'Hotspot Calcs'!$B$13</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Calcs'!$I$13</c:f>
              <c:numCache>
                <c:formatCode>0%</c:formatCode>
                <c:ptCount val="1"/>
                <c:pt idx="0">
                  <c:v>-10</c:v>
                </c:pt>
              </c:numCache>
            </c:numRef>
          </c:xVal>
          <c:yVal>
            <c:numRef>
              <c:f>'Hotspot Calcs'!$F$13</c:f>
              <c:numCache>
                <c:formatCode>0%</c:formatCode>
                <c:ptCount val="1"/>
                <c:pt idx="0">
                  <c:v>0</c:v>
                </c:pt>
              </c:numCache>
            </c:numRef>
          </c:yVal>
          <c:smooth val="0"/>
          <c:extLst>
            <c:ext xmlns:c16="http://schemas.microsoft.com/office/drawing/2014/chart" uri="{C3380CC4-5D6E-409C-BE32-E72D297353CC}">
              <c16:uniqueId val="{0000000B-496B-CA4D-8A5F-8BC1A505E39A}"/>
            </c:ext>
          </c:extLst>
        </c:ser>
        <c:ser>
          <c:idx val="11"/>
          <c:order val="11"/>
          <c:tx>
            <c:strRef>
              <c:f>'Hotspot Calcs'!$B$14</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Calcs'!$I$14</c:f>
              <c:numCache>
                <c:formatCode>0%</c:formatCode>
                <c:ptCount val="1"/>
                <c:pt idx="0">
                  <c:v>-10</c:v>
                </c:pt>
              </c:numCache>
            </c:numRef>
          </c:xVal>
          <c:yVal>
            <c:numRef>
              <c:f>'Hotspot Calcs'!$F$14</c:f>
              <c:numCache>
                <c:formatCode>0%</c:formatCode>
                <c:ptCount val="1"/>
                <c:pt idx="0">
                  <c:v>0</c:v>
                </c:pt>
              </c:numCache>
            </c:numRef>
          </c:yVal>
          <c:smooth val="0"/>
          <c:extLst>
            <c:ext xmlns:c16="http://schemas.microsoft.com/office/drawing/2014/chart" uri="{C3380CC4-5D6E-409C-BE32-E72D297353CC}">
              <c16:uniqueId val="{0000000C-496B-CA4D-8A5F-8BC1A505E39A}"/>
            </c:ext>
          </c:extLst>
        </c:ser>
        <c:ser>
          <c:idx val="12"/>
          <c:order val="12"/>
          <c:tx>
            <c:strRef>
              <c:f>'Hotspot Calcs'!$B$15</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Calcs'!$I$15</c:f>
              <c:numCache>
                <c:formatCode>0%</c:formatCode>
                <c:ptCount val="1"/>
                <c:pt idx="0">
                  <c:v>-10</c:v>
                </c:pt>
              </c:numCache>
            </c:numRef>
          </c:xVal>
          <c:yVal>
            <c:numRef>
              <c:f>'Hotspot Calcs'!$F$15</c:f>
              <c:numCache>
                <c:formatCode>0%</c:formatCode>
                <c:ptCount val="1"/>
                <c:pt idx="0">
                  <c:v>0</c:v>
                </c:pt>
              </c:numCache>
            </c:numRef>
          </c:yVal>
          <c:smooth val="0"/>
          <c:extLst>
            <c:ext xmlns:c16="http://schemas.microsoft.com/office/drawing/2014/chart" uri="{C3380CC4-5D6E-409C-BE32-E72D297353CC}">
              <c16:uniqueId val="{0000000D-496B-CA4D-8A5F-8BC1A505E39A}"/>
            </c:ext>
          </c:extLst>
        </c:ser>
        <c:ser>
          <c:idx val="13"/>
          <c:order val="13"/>
          <c:tx>
            <c:strRef>
              <c:f>'Hotspot Calcs'!$B$16</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Calcs'!$I$16</c:f>
              <c:numCache>
                <c:formatCode>0%</c:formatCode>
                <c:ptCount val="1"/>
                <c:pt idx="0">
                  <c:v>-10</c:v>
                </c:pt>
              </c:numCache>
            </c:numRef>
          </c:xVal>
          <c:yVal>
            <c:numRef>
              <c:f>'Hotspot Calcs'!$F$16</c:f>
              <c:numCache>
                <c:formatCode>0%</c:formatCode>
                <c:ptCount val="1"/>
                <c:pt idx="0">
                  <c:v>0</c:v>
                </c:pt>
              </c:numCache>
            </c:numRef>
          </c:yVal>
          <c:smooth val="0"/>
          <c:extLst>
            <c:ext xmlns:c16="http://schemas.microsoft.com/office/drawing/2014/chart" uri="{C3380CC4-5D6E-409C-BE32-E72D297353CC}">
              <c16:uniqueId val="{0000000E-496B-CA4D-8A5F-8BC1A505E39A}"/>
            </c:ext>
          </c:extLst>
        </c:ser>
        <c:ser>
          <c:idx val="14"/>
          <c:order val="14"/>
          <c:tx>
            <c:strRef>
              <c:f>'Hotspot Calcs'!$B$17</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Calcs'!$I$17</c:f>
              <c:numCache>
                <c:formatCode>0%</c:formatCode>
                <c:ptCount val="1"/>
                <c:pt idx="0">
                  <c:v>-10</c:v>
                </c:pt>
              </c:numCache>
            </c:numRef>
          </c:xVal>
          <c:yVal>
            <c:numRef>
              <c:f>'Hotspot Calcs'!$F$17</c:f>
              <c:numCache>
                <c:formatCode>0%</c:formatCode>
                <c:ptCount val="1"/>
                <c:pt idx="0">
                  <c:v>0</c:v>
                </c:pt>
              </c:numCache>
            </c:numRef>
          </c:yVal>
          <c:smooth val="0"/>
          <c:extLst>
            <c:ext xmlns:c16="http://schemas.microsoft.com/office/drawing/2014/chart" uri="{C3380CC4-5D6E-409C-BE32-E72D297353CC}">
              <c16:uniqueId val="{0000000F-496B-CA4D-8A5F-8BC1A505E39A}"/>
            </c:ext>
          </c:extLst>
        </c:ser>
        <c:ser>
          <c:idx val="15"/>
          <c:order val="15"/>
          <c:tx>
            <c:strRef>
              <c:f>'Hotspot Calcs'!$B$18</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Calcs'!$I$18</c:f>
              <c:numCache>
                <c:formatCode>0%</c:formatCode>
                <c:ptCount val="1"/>
                <c:pt idx="0">
                  <c:v>-10</c:v>
                </c:pt>
              </c:numCache>
            </c:numRef>
          </c:xVal>
          <c:yVal>
            <c:numRef>
              <c:f>'Hotspot Calcs'!$F$18</c:f>
              <c:numCache>
                <c:formatCode>0%</c:formatCode>
                <c:ptCount val="1"/>
                <c:pt idx="0">
                  <c:v>0</c:v>
                </c:pt>
              </c:numCache>
            </c:numRef>
          </c:yVal>
          <c:smooth val="0"/>
          <c:extLst>
            <c:ext xmlns:c16="http://schemas.microsoft.com/office/drawing/2014/chart" uri="{C3380CC4-5D6E-409C-BE32-E72D297353CC}">
              <c16:uniqueId val="{00000010-496B-CA4D-8A5F-8BC1A505E39A}"/>
            </c:ext>
          </c:extLst>
        </c:ser>
        <c:ser>
          <c:idx val="16"/>
          <c:order val="16"/>
          <c:tx>
            <c:strRef>
              <c:f>'Hotspot Calcs'!$B$19</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Calcs'!$I$19</c:f>
              <c:numCache>
                <c:formatCode>0%</c:formatCode>
                <c:ptCount val="1"/>
                <c:pt idx="0">
                  <c:v>-10</c:v>
                </c:pt>
              </c:numCache>
            </c:numRef>
          </c:xVal>
          <c:yVal>
            <c:numRef>
              <c:f>'Hotspot Calcs'!$F$19</c:f>
              <c:numCache>
                <c:formatCode>0%</c:formatCode>
                <c:ptCount val="1"/>
                <c:pt idx="0">
                  <c:v>0</c:v>
                </c:pt>
              </c:numCache>
            </c:numRef>
          </c:yVal>
          <c:smooth val="0"/>
          <c:extLst>
            <c:ext xmlns:c16="http://schemas.microsoft.com/office/drawing/2014/chart" uri="{C3380CC4-5D6E-409C-BE32-E72D297353CC}">
              <c16:uniqueId val="{00000011-496B-CA4D-8A5F-8BC1A505E39A}"/>
            </c:ext>
          </c:extLst>
        </c:ser>
        <c:ser>
          <c:idx val="17"/>
          <c:order val="17"/>
          <c:tx>
            <c:strRef>
              <c:f>'Hotspot Calcs'!$B$20</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Calcs'!$I$20</c:f>
              <c:numCache>
                <c:formatCode>0%</c:formatCode>
                <c:ptCount val="1"/>
                <c:pt idx="0">
                  <c:v>-10</c:v>
                </c:pt>
              </c:numCache>
            </c:numRef>
          </c:xVal>
          <c:yVal>
            <c:numRef>
              <c:f>'Hotspot Calcs'!$F$20</c:f>
              <c:numCache>
                <c:formatCode>0%</c:formatCode>
                <c:ptCount val="1"/>
                <c:pt idx="0">
                  <c:v>0</c:v>
                </c:pt>
              </c:numCache>
            </c:numRef>
          </c:yVal>
          <c:smooth val="0"/>
          <c:extLst>
            <c:ext xmlns:c16="http://schemas.microsoft.com/office/drawing/2014/chart" uri="{C3380CC4-5D6E-409C-BE32-E72D297353CC}">
              <c16:uniqueId val="{00000012-496B-CA4D-8A5F-8BC1A505E39A}"/>
            </c:ext>
          </c:extLst>
        </c:ser>
        <c:ser>
          <c:idx val="18"/>
          <c:order val="18"/>
          <c:tx>
            <c:strRef>
              <c:f>'Hotspot Calcs'!$B$21</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Calcs'!$I$21</c:f>
              <c:numCache>
                <c:formatCode>0%</c:formatCode>
                <c:ptCount val="1"/>
                <c:pt idx="0">
                  <c:v>-10</c:v>
                </c:pt>
              </c:numCache>
            </c:numRef>
          </c:xVal>
          <c:yVal>
            <c:numRef>
              <c:f>'Hotspot Calcs'!$F$21</c:f>
              <c:numCache>
                <c:formatCode>0%</c:formatCode>
                <c:ptCount val="1"/>
                <c:pt idx="0">
                  <c:v>0</c:v>
                </c:pt>
              </c:numCache>
            </c:numRef>
          </c:yVal>
          <c:smooth val="0"/>
          <c:extLst>
            <c:ext xmlns:c16="http://schemas.microsoft.com/office/drawing/2014/chart" uri="{C3380CC4-5D6E-409C-BE32-E72D297353CC}">
              <c16:uniqueId val="{00000013-496B-CA4D-8A5F-8BC1A505E39A}"/>
            </c:ext>
          </c:extLst>
        </c:ser>
        <c:ser>
          <c:idx val="19"/>
          <c:order val="19"/>
          <c:tx>
            <c:strRef>
              <c:f>'Hotspot Calcs'!$B$22</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Calcs'!$I$22</c:f>
              <c:numCache>
                <c:formatCode>0%</c:formatCode>
                <c:ptCount val="1"/>
                <c:pt idx="0">
                  <c:v>-10</c:v>
                </c:pt>
              </c:numCache>
            </c:numRef>
          </c:xVal>
          <c:yVal>
            <c:numRef>
              <c:f>'Hotspot Calcs'!$F$22</c:f>
              <c:numCache>
                <c:formatCode>0%</c:formatCode>
                <c:ptCount val="1"/>
                <c:pt idx="0">
                  <c:v>0</c:v>
                </c:pt>
              </c:numCache>
            </c:numRef>
          </c:yVal>
          <c:smooth val="0"/>
          <c:extLst>
            <c:ext xmlns:c16="http://schemas.microsoft.com/office/drawing/2014/chart" uri="{C3380CC4-5D6E-409C-BE32-E72D297353CC}">
              <c16:uniqueId val="{00000014-496B-CA4D-8A5F-8BC1A505E39A}"/>
            </c:ext>
          </c:extLst>
        </c:ser>
        <c:ser>
          <c:idx val="20"/>
          <c:order val="20"/>
          <c:tx>
            <c:strRef>
              <c:f>'Hotspot Calcs'!$B$23</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Calcs'!$I$23</c:f>
              <c:numCache>
                <c:formatCode>0%</c:formatCode>
                <c:ptCount val="1"/>
                <c:pt idx="0">
                  <c:v>-10</c:v>
                </c:pt>
              </c:numCache>
            </c:numRef>
          </c:xVal>
          <c:yVal>
            <c:numRef>
              <c:f>'Hotspot Calcs'!$F$23</c:f>
              <c:numCache>
                <c:formatCode>0%</c:formatCode>
                <c:ptCount val="1"/>
                <c:pt idx="0">
                  <c:v>0</c:v>
                </c:pt>
              </c:numCache>
            </c:numRef>
          </c:yVal>
          <c:smooth val="0"/>
          <c:extLst>
            <c:ext xmlns:c16="http://schemas.microsoft.com/office/drawing/2014/chart" uri="{C3380CC4-5D6E-409C-BE32-E72D297353CC}">
              <c16:uniqueId val="{00000000-4A2F-4E7E-8D8B-F60E96323410}"/>
            </c:ext>
          </c:extLst>
        </c:ser>
        <c:ser>
          <c:idx val="21"/>
          <c:order val="21"/>
          <c:tx>
            <c:strRef>
              <c:f>'Hotspot Calcs'!$B$24</c:f>
              <c:strCache>
                <c:ptCount val="1"/>
              </c:strCache>
            </c:strRef>
          </c:tx>
          <c:spPr>
            <a:ln w="25400" cap="rnd">
              <a:noFill/>
              <a:round/>
            </a:ln>
            <a:effectLst/>
          </c:spPr>
          <c:marker>
            <c:symbol val="circle"/>
            <c:size val="10"/>
            <c:spPr>
              <a:solidFill>
                <a:schemeClr val="tx1"/>
              </a:solidFill>
              <a:ln w="9525">
                <a:solidFill>
                  <a:schemeClr val="accent4">
                    <a:lumMod val="80000"/>
                  </a:schemeClr>
                </a:solidFill>
              </a:ln>
              <a:effectLst/>
            </c:spPr>
          </c:marker>
          <c:xVal>
            <c:numRef>
              <c:f>'Hotspot Calcs'!$I$24</c:f>
              <c:numCache>
                <c:formatCode>0%</c:formatCode>
                <c:ptCount val="1"/>
                <c:pt idx="0">
                  <c:v>-10</c:v>
                </c:pt>
              </c:numCache>
            </c:numRef>
          </c:xVal>
          <c:yVal>
            <c:numRef>
              <c:f>'Hotspot Calcs'!$F$24</c:f>
              <c:numCache>
                <c:formatCode>0%</c:formatCode>
                <c:ptCount val="1"/>
                <c:pt idx="0">
                  <c:v>0</c:v>
                </c:pt>
              </c:numCache>
            </c:numRef>
          </c:yVal>
          <c:smooth val="0"/>
          <c:extLst>
            <c:ext xmlns:c16="http://schemas.microsoft.com/office/drawing/2014/chart" uri="{C3380CC4-5D6E-409C-BE32-E72D297353CC}">
              <c16:uniqueId val="{00000001-4A2F-4E7E-8D8B-F60E96323410}"/>
            </c:ext>
          </c:extLst>
        </c:ser>
        <c:ser>
          <c:idx val="22"/>
          <c:order val="22"/>
          <c:tx>
            <c:strRef>
              <c:f>'Hotspot Calcs'!$B$25</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Calcs'!$I$25</c:f>
              <c:numCache>
                <c:formatCode>0%</c:formatCode>
                <c:ptCount val="1"/>
                <c:pt idx="0">
                  <c:v>-10</c:v>
                </c:pt>
              </c:numCache>
            </c:numRef>
          </c:xVal>
          <c:yVal>
            <c:numRef>
              <c:f>'Hotspot Calcs'!$F$25</c:f>
              <c:numCache>
                <c:formatCode>0%</c:formatCode>
                <c:ptCount val="1"/>
                <c:pt idx="0">
                  <c:v>0</c:v>
                </c:pt>
              </c:numCache>
            </c:numRef>
          </c:yVal>
          <c:smooth val="0"/>
          <c:extLst>
            <c:ext xmlns:c16="http://schemas.microsoft.com/office/drawing/2014/chart" uri="{C3380CC4-5D6E-409C-BE32-E72D297353CC}">
              <c16:uniqueId val="{00000002-4A2F-4E7E-8D8B-F60E96323410}"/>
            </c:ext>
          </c:extLst>
        </c:ser>
        <c:ser>
          <c:idx val="23"/>
          <c:order val="23"/>
          <c:tx>
            <c:strRef>
              <c:f>'Hotspot Calcs'!$B$26</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Calcs'!$I$26</c:f>
              <c:numCache>
                <c:formatCode>0%</c:formatCode>
                <c:ptCount val="1"/>
                <c:pt idx="0">
                  <c:v>-10</c:v>
                </c:pt>
              </c:numCache>
            </c:numRef>
          </c:xVal>
          <c:yVal>
            <c:numRef>
              <c:f>'Hotspot Calcs'!$F$26</c:f>
              <c:numCache>
                <c:formatCode>0%</c:formatCode>
                <c:ptCount val="1"/>
                <c:pt idx="0">
                  <c:v>0</c:v>
                </c:pt>
              </c:numCache>
            </c:numRef>
          </c:yVal>
          <c:smooth val="0"/>
          <c:extLst>
            <c:ext xmlns:c16="http://schemas.microsoft.com/office/drawing/2014/chart" uri="{C3380CC4-5D6E-409C-BE32-E72D297353CC}">
              <c16:uniqueId val="{00000003-4A2F-4E7E-8D8B-F60E96323410}"/>
            </c:ext>
          </c:extLst>
        </c:ser>
        <c:ser>
          <c:idx val="24"/>
          <c:order val="24"/>
          <c:tx>
            <c:strRef>
              <c:f>'Hotspot Calcs'!$B$27</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Calcs'!$I$27</c:f>
              <c:numCache>
                <c:formatCode>0%</c:formatCode>
                <c:ptCount val="1"/>
                <c:pt idx="0">
                  <c:v>-10</c:v>
                </c:pt>
              </c:numCache>
            </c:numRef>
          </c:xVal>
          <c:yVal>
            <c:numRef>
              <c:f>'Hotspot Calcs'!$F$27</c:f>
              <c:numCache>
                <c:formatCode>0%</c:formatCode>
                <c:ptCount val="1"/>
                <c:pt idx="0">
                  <c:v>0</c:v>
                </c:pt>
              </c:numCache>
            </c:numRef>
          </c:yVal>
          <c:smooth val="0"/>
          <c:extLst>
            <c:ext xmlns:c16="http://schemas.microsoft.com/office/drawing/2014/chart" uri="{C3380CC4-5D6E-409C-BE32-E72D297353CC}">
              <c16:uniqueId val="{00000004-4A2F-4E7E-8D8B-F60E96323410}"/>
            </c:ext>
          </c:extLst>
        </c:ser>
        <c:ser>
          <c:idx val="25"/>
          <c:order val="25"/>
          <c:tx>
            <c:strRef>
              <c:f>'Hotspot Calcs'!$B$28</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Calcs'!$I$28</c:f>
              <c:numCache>
                <c:formatCode>0%</c:formatCode>
                <c:ptCount val="1"/>
                <c:pt idx="0">
                  <c:v>-10</c:v>
                </c:pt>
              </c:numCache>
            </c:numRef>
          </c:xVal>
          <c:yVal>
            <c:numRef>
              <c:f>'Hotspot Calcs'!$F$28</c:f>
              <c:numCache>
                <c:formatCode>0%</c:formatCode>
                <c:ptCount val="1"/>
                <c:pt idx="0">
                  <c:v>0</c:v>
                </c:pt>
              </c:numCache>
            </c:numRef>
          </c:yVal>
          <c:smooth val="0"/>
          <c:extLst>
            <c:ext xmlns:c16="http://schemas.microsoft.com/office/drawing/2014/chart" uri="{C3380CC4-5D6E-409C-BE32-E72D297353CC}">
              <c16:uniqueId val="{00000005-4A2F-4E7E-8D8B-F60E96323410}"/>
            </c:ext>
          </c:extLst>
        </c:ser>
        <c:ser>
          <c:idx val="26"/>
          <c:order val="26"/>
          <c:tx>
            <c:strRef>
              <c:f>'Hotspot Calcs'!$B$29</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Calcs'!$I$29</c:f>
              <c:numCache>
                <c:formatCode>0%</c:formatCode>
                <c:ptCount val="1"/>
                <c:pt idx="0">
                  <c:v>-10</c:v>
                </c:pt>
              </c:numCache>
            </c:numRef>
          </c:xVal>
          <c:yVal>
            <c:numRef>
              <c:f>'Hotspot Calcs'!$F$29</c:f>
              <c:numCache>
                <c:formatCode>0%</c:formatCode>
                <c:ptCount val="1"/>
                <c:pt idx="0">
                  <c:v>0</c:v>
                </c:pt>
              </c:numCache>
            </c:numRef>
          </c:yVal>
          <c:smooth val="0"/>
          <c:extLst>
            <c:ext xmlns:c16="http://schemas.microsoft.com/office/drawing/2014/chart" uri="{C3380CC4-5D6E-409C-BE32-E72D297353CC}">
              <c16:uniqueId val="{00000006-4A2F-4E7E-8D8B-F60E96323410}"/>
            </c:ext>
          </c:extLst>
        </c:ser>
        <c:ser>
          <c:idx val="27"/>
          <c:order val="27"/>
          <c:tx>
            <c:strRef>
              <c:f>'Hotspot Calcs'!$B$30</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Calcs'!$I$30</c:f>
              <c:numCache>
                <c:formatCode>0%</c:formatCode>
                <c:ptCount val="1"/>
                <c:pt idx="0">
                  <c:v>-10</c:v>
                </c:pt>
              </c:numCache>
            </c:numRef>
          </c:xVal>
          <c:yVal>
            <c:numRef>
              <c:f>'Hotspot Calcs'!$F$30</c:f>
              <c:numCache>
                <c:formatCode>0%</c:formatCode>
                <c:ptCount val="1"/>
                <c:pt idx="0">
                  <c:v>0</c:v>
                </c:pt>
              </c:numCache>
            </c:numRef>
          </c:yVal>
          <c:smooth val="0"/>
          <c:extLst>
            <c:ext xmlns:c16="http://schemas.microsoft.com/office/drawing/2014/chart" uri="{C3380CC4-5D6E-409C-BE32-E72D297353CC}">
              <c16:uniqueId val="{00000007-4A2F-4E7E-8D8B-F60E96323410}"/>
            </c:ext>
          </c:extLst>
        </c:ser>
        <c:ser>
          <c:idx val="28"/>
          <c:order val="28"/>
          <c:tx>
            <c:strRef>
              <c:f>'Hotspot Calcs'!$B$31</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Calcs'!$I$31</c:f>
              <c:numCache>
                <c:formatCode>0%</c:formatCode>
                <c:ptCount val="1"/>
                <c:pt idx="0">
                  <c:v>-10</c:v>
                </c:pt>
              </c:numCache>
            </c:numRef>
          </c:xVal>
          <c:yVal>
            <c:numRef>
              <c:f>'Hotspot Calcs'!$F$31</c:f>
              <c:numCache>
                <c:formatCode>0%</c:formatCode>
                <c:ptCount val="1"/>
                <c:pt idx="0">
                  <c:v>0</c:v>
                </c:pt>
              </c:numCache>
            </c:numRef>
          </c:yVal>
          <c:smooth val="0"/>
          <c:extLst>
            <c:ext xmlns:c16="http://schemas.microsoft.com/office/drawing/2014/chart" uri="{C3380CC4-5D6E-409C-BE32-E72D297353CC}">
              <c16:uniqueId val="{00000008-4A2F-4E7E-8D8B-F60E96323410}"/>
            </c:ext>
          </c:extLst>
        </c:ser>
        <c:ser>
          <c:idx val="29"/>
          <c:order val="29"/>
          <c:tx>
            <c:strRef>
              <c:f>'Hotspot Calcs'!$B$32</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Calcs'!$I$32</c:f>
              <c:numCache>
                <c:formatCode>0%</c:formatCode>
                <c:ptCount val="1"/>
                <c:pt idx="0">
                  <c:v>-10</c:v>
                </c:pt>
              </c:numCache>
            </c:numRef>
          </c:xVal>
          <c:yVal>
            <c:numRef>
              <c:f>'Hotspot Calcs'!$F$32</c:f>
              <c:numCache>
                <c:formatCode>0%</c:formatCode>
                <c:ptCount val="1"/>
                <c:pt idx="0">
                  <c:v>0</c:v>
                </c:pt>
              </c:numCache>
            </c:numRef>
          </c:yVal>
          <c:smooth val="0"/>
          <c:extLst>
            <c:ext xmlns:c16="http://schemas.microsoft.com/office/drawing/2014/chart" uri="{C3380CC4-5D6E-409C-BE32-E72D297353CC}">
              <c16:uniqueId val="{00000009-4A2F-4E7E-8D8B-F60E96323410}"/>
            </c:ext>
          </c:extLst>
        </c:ser>
        <c:dLbls>
          <c:showLegendKey val="0"/>
          <c:showVal val="0"/>
          <c:showCatName val="0"/>
          <c:showSerName val="0"/>
          <c:showPercent val="0"/>
          <c:showBubbleSize val="0"/>
        </c:dLbls>
        <c:axId val="2095865952"/>
        <c:axId val="20935407"/>
      </c:scatterChart>
      <c:valAx>
        <c:axId val="2095865952"/>
        <c:scaling>
          <c:orientation val="minMax"/>
          <c:max val="1"/>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a:t>MCI</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20935407"/>
        <c:crosses val="autoZero"/>
        <c:crossBetween val="midCat"/>
        <c:majorUnit val="0.1"/>
      </c:valAx>
      <c:valAx>
        <c:axId val="20935407"/>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a:t>% Total</a:t>
                </a:r>
                <a:r>
                  <a:rPr lang="en-US" baseline="0"/>
                  <a:t> Embodied CO2</a:t>
                </a:r>
                <a:endParaRPr lang="en-US"/>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20958659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'Hotspot Calcs'!$B$3</c:f>
              <c:strCache>
                <c:ptCount val="1"/>
                <c:pt idx="0">
                  <c:v>Foundation</c:v>
                </c:pt>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Calcs'!$I$3</c:f>
              <c:numCache>
                <c:formatCode>0%</c:formatCode>
                <c:ptCount val="1"/>
                <c:pt idx="0">
                  <c:v>0.52249999999999996</c:v>
                </c:pt>
              </c:numCache>
            </c:numRef>
          </c:xVal>
          <c:yVal>
            <c:numRef>
              <c:f>'Hotspot Calcs'!$H$3</c:f>
              <c:numCache>
                <c:formatCode>0%</c:formatCode>
                <c:ptCount val="1"/>
                <c:pt idx="0">
                  <c:v>1.8743305962156374E-2</c:v>
                </c:pt>
              </c:numCache>
            </c:numRef>
          </c:yVal>
          <c:smooth val="0"/>
          <c:extLst>
            <c:ext xmlns:c16="http://schemas.microsoft.com/office/drawing/2014/chart" uri="{C3380CC4-5D6E-409C-BE32-E72D297353CC}">
              <c16:uniqueId val="{00000000-46FE-9147-B7AC-41FD90AD2835}"/>
            </c:ext>
          </c:extLst>
        </c:ser>
        <c:ser>
          <c:idx val="1"/>
          <c:order val="1"/>
          <c:tx>
            <c:strRef>
              <c:f>'Hotspot Calcs'!$B$4</c:f>
              <c:strCache>
                <c:ptCount val="1"/>
                <c:pt idx="0">
                  <c:v>Structural Columns</c:v>
                </c:pt>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Calcs'!$I$4</c:f>
              <c:numCache>
                <c:formatCode>0%</c:formatCode>
                <c:ptCount val="1"/>
                <c:pt idx="0">
                  <c:v>0.67500000000000004</c:v>
                </c:pt>
              </c:numCache>
            </c:numRef>
          </c:xVal>
          <c:yVal>
            <c:numRef>
              <c:f>'Hotspot Calcs'!$H$4</c:f>
              <c:numCache>
                <c:formatCode>0%</c:formatCode>
                <c:ptCount val="1"/>
                <c:pt idx="0">
                  <c:v>0.19635844341306677</c:v>
                </c:pt>
              </c:numCache>
            </c:numRef>
          </c:yVal>
          <c:smooth val="0"/>
          <c:extLst>
            <c:ext xmlns:c16="http://schemas.microsoft.com/office/drawing/2014/chart" uri="{C3380CC4-5D6E-409C-BE32-E72D297353CC}">
              <c16:uniqueId val="{00000001-46FE-9147-B7AC-41FD90AD2835}"/>
            </c:ext>
          </c:extLst>
        </c:ser>
        <c:ser>
          <c:idx val="2"/>
          <c:order val="2"/>
          <c:tx>
            <c:strRef>
              <c:f>'Hotspot Calcs'!$B$5</c:f>
              <c:strCache>
                <c:ptCount val="1"/>
                <c:pt idx="0">
                  <c:v>Floor Beams</c:v>
                </c:pt>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Calcs'!$I$5</c:f>
              <c:numCache>
                <c:formatCode>0%</c:formatCode>
                <c:ptCount val="1"/>
                <c:pt idx="0">
                  <c:v>0.57499999999999996</c:v>
                </c:pt>
              </c:numCache>
            </c:numRef>
          </c:xVal>
          <c:yVal>
            <c:numRef>
              <c:f>'Hotspot Calcs'!$H$5</c:f>
              <c:numCache>
                <c:formatCode>0%</c:formatCode>
                <c:ptCount val="1"/>
                <c:pt idx="0">
                  <c:v>0.1885041056765441</c:v>
                </c:pt>
              </c:numCache>
            </c:numRef>
          </c:yVal>
          <c:smooth val="0"/>
          <c:extLst>
            <c:ext xmlns:c16="http://schemas.microsoft.com/office/drawing/2014/chart" uri="{C3380CC4-5D6E-409C-BE32-E72D297353CC}">
              <c16:uniqueId val="{00000002-46FE-9147-B7AC-41FD90AD2835}"/>
            </c:ext>
          </c:extLst>
        </c:ser>
        <c:ser>
          <c:idx val="3"/>
          <c:order val="3"/>
          <c:tx>
            <c:strRef>
              <c:f>'Hotspot Calcs'!$B$6</c:f>
              <c:strCache>
                <c:ptCount val="1"/>
                <c:pt idx="0">
                  <c:v>Roof Beams</c:v>
                </c:pt>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Calcs'!$I$6</c:f>
              <c:numCache>
                <c:formatCode>0%</c:formatCode>
                <c:ptCount val="1"/>
                <c:pt idx="0">
                  <c:v>1</c:v>
                </c:pt>
              </c:numCache>
            </c:numRef>
          </c:xVal>
          <c:yVal>
            <c:numRef>
              <c:f>'Hotspot Calcs'!$H$6</c:f>
              <c:numCache>
                <c:formatCode>0%</c:formatCode>
                <c:ptCount val="1"/>
                <c:pt idx="0">
                  <c:v>0.46858264905390934</c:v>
                </c:pt>
              </c:numCache>
            </c:numRef>
          </c:yVal>
          <c:smooth val="0"/>
          <c:extLst>
            <c:ext xmlns:c16="http://schemas.microsoft.com/office/drawing/2014/chart" uri="{C3380CC4-5D6E-409C-BE32-E72D297353CC}">
              <c16:uniqueId val="{00000003-46FE-9147-B7AC-41FD90AD2835}"/>
            </c:ext>
          </c:extLst>
        </c:ser>
        <c:ser>
          <c:idx val="4"/>
          <c:order val="4"/>
          <c:tx>
            <c:strRef>
              <c:f>'Hotspot Calcs'!$B$7</c:f>
              <c:strCache>
                <c:ptCount val="1"/>
                <c:pt idx="0">
                  <c:v>External wall panels</c:v>
                </c:pt>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Calcs'!$I$7</c:f>
              <c:numCache>
                <c:formatCode>0%</c:formatCode>
                <c:ptCount val="1"/>
                <c:pt idx="0">
                  <c:v>4.4999999999999998E-2</c:v>
                </c:pt>
              </c:numCache>
            </c:numRef>
          </c:xVal>
          <c:yVal>
            <c:numRef>
              <c:f>'Hotspot Calcs'!$H$7</c:f>
              <c:numCache>
                <c:formatCode>0%</c:formatCode>
                <c:ptCount val="1"/>
                <c:pt idx="0">
                  <c:v>1.9992859692966797E-2</c:v>
                </c:pt>
              </c:numCache>
            </c:numRef>
          </c:yVal>
          <c:smooth val="0"/>
          <c:extLst>
            <c:ext xmlns:c16="http://schemas.microsoft.com/office/drawing/2014/chart" uri="{C3380CC4-5D6E-409C-BE32-E72D297353CC}">
              <c16:uniqueId val="{00000004-46FE-9147-B7AC-41FD90AD2835}"/>
            </c:ext>
          </c:extLst>
        </c:ser>
        <c:ser>
          <c:idx val="5"/>
          <c:order val="5"/>
          <c:tx>
            <c:strRef>
              <c:f>'Hotspot Calcs'!$B$8</c:f>
              <c:strCache>
                <c:ptCount val="1"/>
                <c:pt idx="0">
                  <c:v>Internal wall panels</c:v>
                </c:pt>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Calcs'!$I$8</c:f>
              <c:numCache>
                <c:formatCode>0%</c:formatCode>
                <c:ptCount val="1"/>
                <c:pt idx="0">
                  <c:v>0.25</c:v>
                </c:pt>
              </c:numCache>
            </c:numRef>
          </c:xVal>
          <c:yVal>
            <c:numRef>
              <c:f>'Hotspot Calcs'!$H$8</c:f>
              <c:numCache>
                <c:formatCode>0%</c:formatCode>
                <c:ptCount val="1"/>
                <c:pt idx="0">
                  <c:v>4.2841842199214566E-2</c:v>
                </c:pt>
              </c:numCache>
            </c:numRef>
          </c:yVal>
          <c:smooth val="0"/>
          <c:extLst>
            <c:ext xmlns:c16="http://schemas.microsoft.com/office/drawing/2014/chart" uri="{C3380CC4-5D6E-409C-BE32-E72D297353CC}">
              <c16:uniqueId val="{00000005-46FE-9147-B7AC-41FD90AD2835}"/>
            </c:ext>
          </c:extLst>
        </c:ser>
        <c:ser>
          <c:idx val="6"/>
          <c:order val="6"/>
          <c:tx>
            <c:strRef>
              <c:f>'Hotspot Calcs'!$B$9</c:f>
              <c:strCache>
                <c:ptCount val="1"/>
                <c:pt idx="0">
                  <c:v>Flooring Sheets</c:v>
                </c:pt>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Calcs'!$I$9</c:f>
              <c:numCache>
                <c:formatCode>0%</c:formatCode>
                <c:ptCount val="1"/>
                <c:pt idx="0">
                  <c:v>0.72499999999999998</c:v>
                </c:pt>
              </c:numCache>
            </c:numRef>
          </c:xVal>
          <c:yVal>
            <c:numRef>
              <c:f>'Hotspot Calcs'!$H$9</c:f>
              <c:numCache>
                <c:formatCode>0%</c:formatCode>
                <c:ptCount val="1"/>
                <c:pt idx="0">
                  <c:v>6.2477686540521243E-2</c:v>
                </c:pt>
              </c:numCache>
            </c:numRef>
          </c:yVal>
          <c:smooth val="0"/>
          <c:extLst>
            <c:ext xmlns:c16="http://schemas.microsoft.com/office/drawing/2014/chart" uri="{C3380CC4-5D6E-409C-BE32-E72D297353CC}">
              <c16:uniqueId val="{00000006-46FE-9147-B7AC-41FD90AD2835}"/>
            </c:ext>
          </c:extLst>
        </c:ser>
        <c:ser>
          <c:idx val="7"/>
          <c:order val="7"/>
          <c:tx>
            <c:strRef>
              <c:f>'Hotspot Calcs'!$B$10</c:f>
              <c:strCache>
                <c:ptCount val="1"/>
                <c:pt idx="0">
                  <c:v>Roof Tiles</c:v>
                </c:pt>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Calcs'!$I$10</c:f>
              <c:numCache>
                <c:formatCode>0%</c:formatCode>
                <c:ptCount val="1"/>
                <c:pt idx="0">
                  <c:v>0.05</c:v>
                </c:pt>
              </c:numCache>
            </c:numRef>
          </c:xVal>
          <c:yVal>
            <c:numRef>
              <c:f>'Hotspot Calcs'!$H$10</c:f>
              <c:numCache>
                <c:formatCode>0%</c:formatCode>
                <c:ptCount val="1"/>
                <c:pt idx="0">
                  <c:v>2.4991074616208496E-3</c:v>
                </c:pt>
              </c:numCache>
            </c:numRef>
          </c:yVal>
          <c:smooth val="0"/>
          <c:extLst>
            <c:ext xmlns:c16="http://schemas.microsoft.com/office/drawing/2014/chart" uri="{C3380CC4-5D6E-409C-BE32-E72D297353CC}">
              <c16:uniqueId val="{00000007-46FE-9147-B7AC-41FD90AD2835}"/>
            </c:ext>
          </c:extLst>
        </c:ser>
        <c:ser>
          <c:idx val="8"/>
          <c:order val="8"/>
          <c:tx>
            <c:strRef>
              <c:f>'Hotspot Calcs'!$B$11</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Calcs'!$I$11</c:f>
              <c:numCache>
                <c:formatCode>0%</c:formatCode>
                <c:ptCount val="1"/>
                <c:pt idx="0">
                  <c:v>-10</c:v>
                </c:pt>
              </c:numCache>
            </c:numRef>
          </c:xVal>
          <c:yVal>
            <c:numRef>
              <c:f>'Hotspot Calcs'!$H$11</c:f>
              <c:numCache>
                <c:formatCode>0%</c:formatCode>
                <c:ptCount val="1"/>
                <c:pt idx="0">
                  <c:v>0</c:v>
                </c:pt>
              </c:numCache>
            </c:numRef>
          </c:yVal>
          <c:smooth val="0"/>
          <c:extLst>
            <c:ext xmlns:c16="http://schemas.microsoft.com/office/drawing/2014/chart" uri="{C3380CC4-5D6E-409C-BE32-E72D297353CC}">
              <c16:uniqueId val="{00000008-46FE-9147-B7AC-41FD90AD2835}"/>
            </c:ext>
          </c:extLst>
        </c:ser>
        <c:ser>
          <c:idx val="9"/>
          <c:order val="9"/>
          <c:tx>
            <c:strRef>
              <c:f>'Hotspot Calcs'!$B$12</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Calcs'!$I$12</c:f>
              <c:numCache>
                <c:formatCode>0%</c:formatCode>
                <c:ptCount val="1"/>
                <c:pt idx="0">
                  <c:v>-10</c:v>
                </c:pt>
              </c:numCache>
            </c:numRef>
          </c:xVal>
          <c:yVal>
            <c:numRef>
              <c:f>'Hotspot Calcs'!$H$12</c:f>
              <c:numCache>
                <c:formatCode>0%</c:formatCode>
                <c:ptCount val="1"/>
                <c:pt idx="0">
                  <c:v>0</c:v>
                </c:pt>
              </c:numCache>
            </c:numRef>
          </c:yVal>
          <c:smooth val="0"/>
          <c:extLst>
            <c:ext xmlns:c16="http://schemas.microsoft.com/office/drawing/2014/chart" uri="{C3380CC4-5D6E-409C-BE32-E72D297353CC}">
              <c16:uniqueId val="{00000009-46FE-9147-B7AC-41FD90AD2835}"/>
            </c:ext>
          </c:extLst>
        </c:ser>
        <c:ser>
          <c:idx val="10"/>
          <c:order val="10"/>
          <c:tx>
            <c:strRef>
              <c:f>'Hotspot Calcs'!$B$13</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Calcs'!$I$13</c:f>
              <c:numCache>
                <c:formatCode>0%</c:formatCode>
                <c:ptCount val="1"/>
                <c:pt idx="0">
                  <c:v>-10</c:v>
                </c:pt>
              </c:numCache>
            </c:numRef>
          </c:xVal>
          <c:yVal>
            <c:numRef>
              <c:f>'Hotspot Calcs'!$H$13</c:f>
              <c:numCache>
                <c:formatCode>0%</c:formatCode>
                <c:ptCount val="1"/>
                <c:pt idx="0">
                  <c:v>0</c:v>
                </c:pt>
              </c:numCache>
            </c:numRef>
          </c:yVal>
          <c:smooth val="0"/>
          <c:extLst>
            <c:ext xmlns:c16="http://schemas.microsoft.com/office/drawing/2014/chart" uri="{C3380CC4-5D6E-409C-BE32-E72D297353CC}">
              <c16:uniqueId val="{0000000A-46FE-9147-B7AC-41FD90AD2835}"/>
            </c:ext>
          </c:extLst>
        </c:ser>
        <c:ser>
          <c:idx val="11"/>
          <c:order val="11"/>
          <c:tx>
            <c:strRef>
              <c:f>'Hotspot Calcs'!$B$14</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Calcs'!$I$14</c:f>
              <c:numCache>
                <c:formatCode>0%</c:formatCode>
                <c:ptCount val="1"/>
                <c:pt idx="0">
                  <c:v>-10</c:v>
                </c:pt>
              </c:numCache>
            </c:numRef>
          </c:xVal>
          <c:yVal>
            <c:numRef>
              <c:f>'Hotspot Calcs'!$H$14</c:f>
              <c:numCache>
                <c:formatCode>0%</c:formatCode>
                <c:ptCount val="1"/>
                <c:pt idx="0">
                  <c:v>0</c:v>
                </c:pt>
              </c:numCache>
            </c:numRef>
          </c:yVal>
          <c:smooth val="0"/>
          <c:extLst>
            <c:ext xmlns:c16="http://schemas.microsoft.com/office/drawing/2014/chart" uri="{C3380CC4-5D6E-409C-BE32-E72D297353CC}">
              <c16:uniqueId val="{0000000B-46FE-9147-B7AC-41FD90AD2835}"/>
            </c:ext>
          </c:extLst>
        </c:ser>
        <c:ser>
          <c:idx val="12"/>
          <c:order val="12"/>
          <c:tx>
            <c:strRef>
              <c:f>'Hotspot Calcs'!$B$15</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Calcs'!$I$15</c:f>
              <c:numCache>
                <c:formatCode>0%</c:formatCode>
                <c:ptCount val="1"/>
                <c:pt idx="0">
                  <c:v>-10</c:v>
                </c:pt>
              </c:numCache>
            </c:numRef>
          </c:xVal>
          <c:yVal>
            <c:numRef>
              <c:f>'Hotspot Calcs'!$H$15</c:f>
              <c:numCache>
                <c:formatCode>0%</c:formatCode>
                <c:ptCount val="1"/>
                <c:pt idx="0">
                  <c:v>0</c:v>
                </c:pt>
              </c:numCache>
            </c:numRef>
          </c:yVal>
          <c:smooth val="0"/>
          <c:extLst>
            <c:ext xmlns:c16="http://schemas.microsoft.com/office/drawing/2014/chart" uri="{C3380CC4-5D6E-409C-BE32-E72D297353CC}">
              <c16:uniqueId val="{0000000C-46FE-9147-B7AC-41FD90AD2835}"/>
            </c:ext>
          </c:extLst>
        </c:ser>
        <c:ser>
          <c:idx val="13"/>
          <c:order val="13"/>
          <c:tx>
            <c:strRef>
              <c:f>'Hotspot Calcs'!$B$16</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Calcs'!$I$16</c:f>
              <c:numCache>
                <c:formatCode>0%</c:formatCode>
                <c:ptCount val="1"/>
                <c:pt idx="0">
                  <c:v>-10</c:v>
                </c:pt>
              </c:numCache>
            </c:numRef>
          </c:xVal>
          <c:yVal>
            <c:numRef>
              <c:f>'Hotspot Calcs'!$H$16</c:f>
              <c:numCache>
                <c:formatCode>0%</c:formatCode>
                <c:ptCount val="1"/>
                <c:pt idx="0">
                  <c:v>0</c:v>
                </c:pt>
              </c:numCache>
            </c:numRef>
          </c:yVal>
          <c:smooth val="0"/>
          <c:extLst>
            <c:ext xmlns:c16="http://schemas.microsoft.com/office/drawing/2014/chart" uri="{C3380CC4-5D6E-409C-BE32-E72D297353CC}">
              <c16:uniqueId val="{0000000D-46FE-9147-B7AC-41FD90AD2835}"/>
            </c:ext>
          </c:extLst>
        </c:ser>
        <c:ser>
          <c:idx val="14"/>
          <c:order val="14"/>
          <c:tx>
            <c:strRef>
              <c:f>'Hotspot Calcs'!$B$17</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Calcs'!$I$17</c:f>
              <c:numCache>
                <c:formatCode>0%</c:formatCode>
                <c:ptCount val="1"/>
                <c:pt idx="0">
                  <c:v>-10</c:v>
                </c:pt>
              </c:numCache>
            </c:numRef>
          </c:xVal>
          <c:yVal>
            <c:numRef>
              <c:f>'Hotspot Calcs'!$H$17</c:f>
              <c:numCache>
                <c:formatCode>0%</c:formatCode>
                <c:ptCount val="1"/>
                <c:pt idx="0">
                  <c:v>0</c:v>
                </c:pt>
              </c:numCache>
            </c:numRef>
          </c:yVal>
          <c:smooth val="0"/>
          <c:extLst>
            <c:ext xmlns:c16="http://schemas.microsoft.com/office/drawing/2014/chart" uri="{C3380CC4-5D6E-409C-BE32-E72D297353CC}">
              <c16:uniqueId val="{0000000E-46FE-9147-B7AC-41FD90AD2835}"/>
            </c:ext>
          </c:extLst>
        </c:ser>
        <c:ser>
          <c:idx val="15"/>
          <c:order val="15"/>
          <c:tx>
            <c:strRef>
              <c:f>'Hotspot Calcs'!$B$18</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Calcs'!$I$18</c:f>
              <c:numCache>
                <c:formatCode>0%</c:formatCode>
                <c:ptCount val="1"/>
                <c:pt idx="0">
                  <c:v>-10</c:v>
                </c:pt>
              </c:numCache>
            </c:numRef>
          </c:xVal>
          <c:yVal>
            <c:numRef>
              <c:f>'Hotspot Calcs'!$H$18</c:f>
              <c:numCache>
                <c:formatCode>0%</c:formatCode>
                <c:ptCount val="1"/>
                <c:pt idx="0">
                  <c:v>0</c:v>
                </c:pt>
              </c:numCache>
            </c:numRef>
          </c:yVal>
          <c:smooth val="0"/>
          <c:extLst>
            <c:ext xmlns:c16="http://schemas.microsoft.com/office/drawing/2014/chart" uri="{C3380CC4-5D6E-409C-BE32-E72D297353CC}">
              <c16:uniqueId val="{0000000F-46FE-9147-B7AC-41FD90AD2835}"/>
            </c:ext>
          </c:extLst>
        </c:ser>
        <c:ser>
          <c:idx val="16"/>
          <c:order val="16"/>
          <c:tx>
            <c:strRef>
              <c:f>'Hotspot Calcs'!$B$19</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Calcs'!$I$19</c:f>
              <c:numCache>
                <c:formatCode>0%</c:formatCode>
                <c:ptCount val="1"/>
                <c:pt idx="0">
                  <c:v>-10</c:v>
                </c:pt>
              </c:numCache>
            </c:numRef>
          </c:xVal>
          <c:yVal>
            <c:numRef>
              <c:f>'Hotspot Calcs'!$H$19</c:f>
              <c:numCache>
                <c:formatCode>0%</c:formatCode>
                <c:ptCount val="1"/>
                <c:pt idx="0">
                  <c:v>0</c:v>
                </c:pt>
              </c:numCache>
            </c:numRef>
          </c:yVal>
          <c:smooth val="0"/>
          <c:extLst>
            <c:ext xmlns:c16="http://schemas.microsoft.com/office/drawing/2014/chart" uri="{C3380CC4-5D6E-409C-BE32-E72D297353CC}">
              <c16:uniqueId val="{00000010-46FE-9147-B7AC-41FD90AD2835}"/>
            </c:ext>
          </c:extLst>
        </c:ser>
        <c:ser>
          <c:idx val="17"/>
          <c:order val="17"/>
          <c:tx>
            <c:strRef>
              <c:f>'Hotspot Calcs'!$B$20</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Calcs'!$I$20</c:f>
              <c:numCache>
                <c:formatCode>0%</c:formatCode>
                <c:ptCount val="1"/>
                <c:pt idx="0">
                  <c:v>-10</c:v>
                </c:pt>
              </c:numCache>
            </c:numRef>
          </c:xVal>
          <c:yVal>
            <c:numRef>
              <c:f>'Hotspot Calcs'!$H$20</c:f>
              <c:numCache>
                <c:formatCode>0%</c:formatCode>
                <c:ptCount val="1"/>
                <c:pt idx="0">
                  <c:v>0</c:v>
                </c:pt>
              </c:numCache>
            </c:numRef>
          </c:yVal>
          <c:smooth val="0"/>
          <c:extLst>
            <c:ext xmlns:c16="http://schemas.microsoft.com/office/drawing/2014/chart" uri="{C3380CC4-5D6E-409C-BE32-E72D297353CC}">
              <c16:uniqueId val="{00000011-46FE-9147-B7AC-41FD90AD2835}"/>
            </c:ext>
          </c:extLst>
        </c:ser>
        <c:ser>
          <c:idx val="18"/>
          <c:order val="18"/>
          <c:tx>
            <c:strRef>
              <c:f>'Hotspot Calcs'!$B$21</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Calcs'!$I$21</c:f>
              <c:numCache>
                <c:formatCode>0%</c:formatCode>
                <c:ptCount val="1"/>
                <c:pt idx="0">
                  <c:v>-10</c:v>
                </c:pt>
              </c:numCache>
            </c:numRef>
          </c:xVal>
          <c:yVal>
            <c:numRef>
              <c:f>'Hotspot Calcs'!$H$21</c:f>
              <c:numCache>
                <c:formatCode>0%</c:formatCode>
                <c:ptCount val="1"/>
                <c:pt idx="0">
                  <c:v>0</c:v>
                </c:pt>
              </c:numCache>
            </c:numRef>
          </c:yVal>
          <c:smooth val="0"/>
          <c:extLst>
            <c:ext xmlns:c16="http://schemas.microsoft.com/office/drawing/2014/chart" uri="{C3380CC4-5D6E-409C-BE32-E72D297353CC}">
              <c16:uniqueId val="{00000012-46FE-9147-B7AC-41FD90AD2835}"/>
            </c:ext>
          </c:extLst>
        </c:ser>
        <c:ser>
          <c:idx val="19"/>
          <c:order val="19"/>
          <c:tx>
            <c:strRef>
              <c:f>'Hotspot Calcs'!$B$22</c:f>
              <c:strCache>
                <c:ptCount val="1"/>
              </c:strCache>
            </c:strRef>
          </c:tx>
          <c:spPr>
            <a:ln w="25400" cap="rnd">
              <a:noFill/>
              <a:round/>
            </a:ln>
            <a:effectLst/>
          </c:spPr>
          <c:marker>
            <c:symbol val="circle"/>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'Hotspot Calcs'!$I$22</c:f>
              <c:numCache>
                <c:formatCode>0%</c:formatCode>
                <c:ptCount val="1"/>
                <c:pt idx="0">
                  <c:v>-10</c:v>
                </c:pt>
              </c:numCache>
            </c:numRef>
          </c:xVal>
          <c:yVal>
            <c:numRef>
              <c:f>'Hotspot Calcs'!$H$22</c:f>
              <c:numCache>
                <c:formatCode>0%</c:formatCode>
                <c:ptCount val="1"/>
                <c:pt idx="0">
                  <c:v>0</c:v>
                </c:pt>
              </c:numCache>
            </c:numRef>
          </c:yVal>
          <c:smooth val="0"/>
          <c:extLst>
            <c:ext xmlns:c16="http://schemas.microsoft.com/office/drawing/2014/chart" uri="{C3380CC4-5D6E-409C-BE32-E72D297353CC}">
              <c16:uniqueId val="{00000013-46FE-9147-B7AC-41FD90AD2835}"/>
            </c:ext>
          </c:extLst>
        </c:ser>
        <c:ser>
          <c:idx val="20"/>
          <c:order val="20"/>
          <c:tx>
            <c:strRef>
              <c:f>'Hotspot Calcs'!$B$23</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Calcs'!$I$23</c:f>
              <c:numCache>
                <c:formatCode>0%</c:formatCode>
                <c:ptCount val="1"/>
                <c:pt idx="0">
                  <c:v>-10</c:v>
                </c:pt>
              </c:numCache>
            </c:numRef>
          </c:xVal>
          <c:yVal>
            <c:numRef>
              <c:f>'Hotspot Calcs'!$H$23</c:f>
              <c:numCache>
                <c:formatCode>0%</c:formatCode>
                <c:ptCount val="1"/>
                <c:pt idx="0">
                  <c:v>0</c:v>
                </c:pt>
              </c:numCache>
            </c:numRef>
          </c:yVal>
          <c:smooth val="0"/>
          <c:extLst>
            <c:ext xmlns:c16="http://schemas.microsoft.com/office/drawing/2014/chart" uri="{C3380CC4-5D6E-409C-BE32-E72D297353CC}">
              <c16:uniqueId val="{00000000-1317-46F2-B889-E3B13770A26F}"/>
            </c:ext>
          </c:extLst>
        </c:ser>
        <c:ser>
          <c:idx val="21"/>
          <c:order val="21"/>
          <c:tx>
            <c:strRef>
              <c:f>'Hotspot Calcs'!$B$24</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Calcs'!$I$24</c:f>
              <c:numCache>
                <c:formatCode>0%</c:formatCode>
                <c:ptCount val="1"/>
                <c:pt idx="0">
                  <c:v>-10</c:v>
                </c:pt>
              </c:numCache>
            </c:numRef>
          </c:xVal>
          <c:yVal>
            <c:numRef>
              <c:f>'Hotspot Calcs'!$H$24</c:f>
              <c:numCache>
                <c:formatCode>0%</c:formatCode>
                <c:ptCount val="1"/>
                <c:pt idx="0">
                  <c:v>0</c:v>
                </c:pt>
              </c:numCache>
            </c:numRef>
          </c:yVal>
          <c:smooth val="0"/>
          <c:extLst>
            <c:ext xmlns:c16="http://schemas.microsoft.com/office/drawing/2014/chart" uri="{C3380CC4-5D6E-409C-BE32-E72D297353CC}">
              <c16:uniqueId val="{00000001-1317-46F2-B889-E3B13770A26F}"/>
            </c:ext>
          </c:extLst>
        </c:ser>
        <c:ser>
          <c:idx val="22"/>
          <c:order val="22"/>
          <c:tx>
            <c:strRef>
              <c:f>'Hotspot Calcs'!$B$25</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Calcs'!$I$25</c:f>
              <c:numCache>
                <c:formatCode>0%</c:formatCode>
                <c:ptCount val="1"/>
                <c:pt idx="0">
                  <c:v>-10</c:v>
                </c:pt>
              </c:numCache>
            </c:numRef>
          </c:xVal>
          <c:yVal>
            <c:numRef>
              <c:f>'Hotspot Calcs'!$H$25</c:f>
              <c:numCache>
                <c:formatCode>0%</c:formatCode>
                <c:ptCount val="1"/>
                <c:pt idx="0">
                  <c:v>0</c:v>
                </c:pt>
              </c:numCache>
            </c:numRef>
          </c:yVal>
          <c:smooth val="0"/>
          <c:extLst>
            <c:ext xmlns:c16="http://schemas.microsoft.com/office/drawing/2014/chart" uri="{C3380CC4-5D6E-409C-BE32-E72D297353CC}">
              <c16:uniqueId val="{00000002-1317-46F2-B889-E3B13770A26F}"/>
            </c:ext>
          </c:extLst>
        </c:ser>
        <c:ser>
          <c:idx val="23"/>
          <c:order val="23"/>
          <c:tx>
            <c:strRef>
              <c:f>'Hotspot Calcs'!$B$26</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Calcs'!$I$26</c:f>
              <c:numCache>
                <c:formatCode>0%</c:formatCode>
                <c:ptCount val="1"/>
                <c:pt idx="0">
                  <c:v>-10</c:v>
                </c:pt>
              </c:numCache>
            </c:numRef>
          </c:xVal>
          <c:yVal>
            <c:numRef>
              <c:f>'Hotspot Calcs'!$H$26</c:f>
              <c:numCache>
                <c:formatCode>0%</c:formatCode>
                <c:ptCount val="1"/>
                <c:pt idx="0">
                  <c:v>0</c:v>
                </c:pt>
              </c:numCache>
            </c:numRef>
          </c:yVal>
          <c:smooth val="0"/>
          <c:extLst>
            <c:ext xmlns:c16="http://schemas.microsoft.com/office/drawing/2014/chart" uri="{C3380CC4-5D6E-409C-BE32-E72D297353CC}">
              <c16:uniqueId val="{00000003-1317-46F2-B889-E3B13770A26F}"/>
            </c:ext>
          </c:extLst>
        </c:ser>
        <c:ser>
          <c:idx val="24"/>
          <c:order val="24"/>
          <c:tx>
            <c:strRef>
              <c:f>'Hotspot Calcs'!$B$27</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Calcs'!$I$27</c:f>
              <c:numCache>
                <c:formatCode>0%</c:formatCode>
                <c:ptCount val="1"/>
                <c:pt idx="0">
                  <c:v>-10</c:v>
                </c:pt>
              </c:numCache>
            </c:numRef>
          </c:xVal>
          <c:yVal>
            <c:numRef>
              <c:f>'Hotspot Calcs'!$H$27</c:f>
              <c:numCache>
                <c:formatCode>0%</c:formatCode>
                <c:ptCount val="1"/>
                <c:pt idx="0">
                  <c:v>0</c:v>
                </c:pt>
              </c:numCache>
            </c:numRef>
          </c:yVal>
          <c:smooth val="0"/>
          <c:extLst>
            <c:ext xmlns:c16="http://schemas.microsoft.com/office/drawing/2014/chart" uri="{C3380CC4-5D6E-409C-BE32-E72D297353CC}">
              <c16:uniqueId val="{00000004-1317-46F2-B889-E3B13770A26F}"/>
            </c:ext>
          </c:extLst>
        </c:ser>
        <c:ser>
          <c:idx val="25"/>
          <c:order val="25"/>
          <c:tx>
            <c:strRef>
              <c:f>'Hotspot Calcs'!$B$28</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Calcs'!$I$28</c:f>
              <c:numCache>
                <c:formatCode>0%</c:formatCode>
                <c:ptCount val="1"/>
                <c:pt idx="0">
                  <c:v>-10</c:v>
                </c:pt>
              </c:numCache>
            </c:numRef>
          </c:xVal>
          <c:yVal>
            <c:numRef>
              <c:f>'Hotspot Calcs'!$H$28</c:f>
              <c:numCache>
                <c:formatCode>0%</c:formatCode>
                <c:ptCount val="1"/>
                <c:pt idx="0">
                  <c:v>0</c:v>
                </c:pt>
              </c:numCache>
            </c:numRef>
          </c:yVal>
          <c:smooth val="0"/>
          <c:extLst>
            <c:ext xmlns:c16="http://schemas.microsoft.com/office/drawing/2014/chart" uri="{C3380CC4-5D6E-409C-BE32-E72D297353CC}">
              <c16:uniqueId val="{00000005-1317-46F2-B889-E3B13770A26F}"/>
            </c:ext>
          </c:extLst>
        </c:ser>
        <c:ser>
          <c:idx val="26"/>
          <c:order val="26"/>
          <c:tx>
            <c:strRef>
              <c:f>'Hotspot Calcs'!$B$29</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Calcs'!$I$29</c:f>
              <c:numCache>
                <c:formatCode>0%</c:formatCode>
                <c:ptCount val="1"/>
                <c:pt idx="0">
                  <c:v>-10</c:v>
                </c:pt>
              </c:numCache>
            </c:numRef>
          </c:xVal>
          <c:yVal>
            <c:numRef>
              <c:f>'Hotspot Calcs'!$H$29</c:f>
              <c:numCache>
                <c:formatCode>0%</c:formatCode>
                <c:ptCount val="1"/>
                <c:pt idx="0">
                  <c:v>0</c:v>
                </c:pt>
              </c:numCache>
            </c:numRef>
          </c:yVal>
          <c:smooth val="0"/>
          <c:extLst>
            <c:ext xmlns:c16="http://schemas.microsoft.com/office/drawing/2014/chart" uri="{C3380CC4-5D6E-409C-BE32-E72D297353CC}">
              <c16:uniqueId val="{00000007-1317-46F2-B889-E3B13770A26F}"/>
            </c:ext>
          </c:extLst>
        </c:ser>
        <c:ser>
          <c:idx val="27"/>
          <c:order val="27"/>
          <c:tx>
            <c:strRef>
              <c:f>'Hotspot Calcs'!$B$30</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Calcs'!$I$30</c:f>
              <c:numCache>
                <c:formatCode>0%</c:formatCode>
                <c:ptCount val="1"/>
                <c:pt idx="0">
                  <c:v>-10</c:v>
                </c:pt>
              </c:numCache>
            </c:numRef>
          </c:xVal>
          <c:yVal>
            <c:numRef>
              <c:f>'Hotspot Calcs'!$H$30</c:f>
              <c:numCache>
                <c:formatCode>0%</c:formatCode>
                <c:ptCount val="1"/>
                <c:pt idx="0">
                  <c:v>0</c:v>
                </c:pt>
              </c:numCache>
            </c:numRef>
          </c:yVal>
          <c:smooth val="0"/>
          <c:extLst>
            <c:ext xmlns:c16="http://schemas.microsoft.com/office/drawing/2014/chart" uri="{C3380CC4-5D6E-409C-BE32-E72D297353CC}">
              <c16:uniqueId val="{00000008-1317-46F2-B889-E3B13770A26F}"/>
            </c:ext>
          </c:extLst>
        </c:ser>
        <c:ser>
          <c:idx val="28"/>
          <c:order val="28"/>
          <c:tx>
            <c:strRef>
              <c:f>'Hotspot Calcs'!$B$31</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Calcs'!$I$31</c:f>
              <c:numCache>
                <c:formatCode>0%</c:formatCode>
                <c:ptCount val="1"/>
                <c:pt idx="0">
                  <c:v>-10</c:v>
                </c:pt>
              </c:numCache>
            </c:numRef>
          </c:xVal>
          <c:yVal>
            <c:numRef>
              <c:f>'Hotspot Calcs'!$H$31</c:f>
              <c:numCache>
                <c:formatCode>0%</c:formatCode>
                <c:ptCount val="1"/>
                <c:pt idx="0">
                  <c:v>0</c:v>
                </c:pt>
              </c:numCache>
            </c:numRef>
          </c:yVal>
          <c:smooth val="0"/>
          <c:extLst>
            <c:ext xmlns:c16="http://schemas.microsoft.com/office/drawing/2014/chart" uri="{C3380CC4-5D6E-409C-BE32-E72D297353CC}">
              <c16:uniqueId val="{00000009-1317-46F2-B889-E3B13770A26F}"/>
            </c:ext>
          </c:extLst>
        </c:ser>
        <c:ser>
          <c:idx val="29"/>
          <c:order val="29"/>
          <c:tx>
            <c:strRef>
              <c:f>'Hotspot Calcs'!$B$32</c:f>
              <c:strCache>
                <c:ptCount val="1"/>
              </c:strCache>
            </c:strRef>
          </c:tx>
          <c:spPr>
            <a:ln w="25400" cap="rnd">
              <a:noFill/>
              <a:round/>
            </a:ln>
            <a:effectLst/>
          </c:spPr>
          <c:marker>
            <c:symbol val="circle"/>
            <c:size val="10"/>
            <c:spPr>
              <a:solidFill>
                <a:schemeClr val="tx1"/>
              </a:solidFill>
              <a:ln w="9525">
                <a:solidFill>
                  <a:schemeClr val="tx1"/>
                </a:solidFill>
              </a:ln>
              <a:effectLst/>
            </c:spPr>
          </c:marker>
          <c:xVal>
            <c:numRef>
              <c:f>'Hotspot Calcs'!$I$32</c:f>
              <c:numCache>
                <c:formatCode>0%</c:formatCode>
                <c:ptCount val="1"/>
                <c:pt idx="0">
                  <c:v>-10</c:v>
                </c:pt>
              </c:numCache>
            </c:numRef>
          </c:xVal>
          <c:yVal>
            <c:numRef>
              <c:f>'Hotspot Calcs'!$H$32</c:f>
              <c:numCache>
                <c:formatCode>0%</c:formatCode>
                <c:ptCount val="1"/>
                <c:pt idx="0">
                  <c:v>0</c:v>
                </c:pt>
              </c:numCache>
            </c:numRef>
          </c:yVal>
          <c:smooth val="0"/>
          <c:extLst>
            <c:ext xmlns:c16="http://schemas.microsoft.com/office/drawing/2014/chart" uri="{C3380CC4-5D6E-409C-BE32-E72D297353CC}">
              <c16:uniqueId val="{0000000A-1317-46F2-B889-E3B13770A26F}"/>
            </c:ext>
          </c:extLst>
        </c:ser>
        <c:dLbls>
          <c:showLegendKey val="0"/>
          <c:showVal val="0"/>
          <c:showCatName val="0"/>
          <c:showSerName val="0"/>
          <c:showPercent val="0"/>
          <c:showBubbleSize val="0"/>
        </c:dLbls>
        <c:axId val="2095865952"/>
        <c:axId val="20935407"/>
      </c:scatterChart>
      <c:valAx>
        <c:axId val="2095865952"/>
        <c:scaling>
          <c:orientation val="minMax"/>
          <c:max val="1"/>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a:t>MCI</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20935407"/>
        <c:crosses val="autoZero"/>
        <c:crossBetween val="midCat"/>
        <c:majorUnit val="0.1"/>
      </c:valAx>
      <c:valAx>
        <c:axId val="20935407"/>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a:t>% Total</a:t>
                </a:r>
                <a:r>
                  <a:rPr lang="en-US" baseline="0"/>
                  <a:t> Material Cost</a:t>
                </a:r>
                <a:endParaRPr lang="en-US"/>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20958659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0A3CE03-C2F0-4EBF-967A-1808CD44280D}">
  <sheetPr/>
  <sheetViews>
    <sheetView zoomScale="114" workbookViewId="0" zoomToFit="1"/>
  </sheetViews>
  <sheetProtection algorithmName="SHA-512" hashValue="dNtAqK/mISjh/lBqcg2Xr/bf9J2eo2ThCHItsbDKybOJnC63MiabvzdJ5CzEwpA9bh3e6S07O5T9+KChwvSSjQ==" saltValue="HfsifelUFfgrXQebDenT8A==" spinCount="100000"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3E2D95B-8702-4C49-BB80-17006C928396}">
  <sheetPr/>
  <sheetViews>
    <sheetView zoomScale="114" workbookViewId="0" zoomToFit="1"/>
  </sheetViews>
  <sheetProtection algorithmName="SHA-512" hashValue="v8d7Y04dQKxyoxJikS/FQyDC37/ZQAYkW8tDoc53OCMaPVUQo4Nlgvbu8eaqTFhBr5hSeFQOCOfIqOVnZCtU5Q==" saltValue="jXOhZE3YGzYzym15lJwrnw==" spinCount="100000"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xdr:row>
      <xdr:rowOff>1</xdr:rowOff>
    </xdr:from>
    <xdr:to>
      <xdr:col>6</xdr:col>
      <xdr:colOff>609600</xdr:colOff>
      <xdr:row>8</xdr:row>
      <xdr:rowOff>28318</xdr:rowOff>
    </xdr:to>
    <xdr:pic>
      <xdr:nvPicPr>
        <xdr:cNvPr id="3" name="Picture 2">
          <a:extLst>
            <a:ext uri="{FF2B5EF4-FFF2-40B4-BE49-F238E27FC236}">
              <a16:creationId xmlns:a16="http://schemas.microsoft.com/office/drawing/2014/main" id="{A71864EB-8E3A-F7D8-51FB-B6985ED510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9200" y="200026"/>
          <a:ext cx="1285875" cy="15237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384785</xdr:colOff>
      <xdr:row>0</xdr:row>
      <xdr:rowOff>203969</xdr:rowOff>
    </xdr:from>
    <xdr:to>
      <xdr:col>19</xdr:col>
      <xdr:colOff>102626</xdr:colOff>
      <xdr:row>39</xdr:row>
      <xdr:rowOff>153940</xdr:rowOff>
    </xdr:to>
    <xdr:graphicFrame macro="">
      <xdr:nvGraphicFramePr>
        <xdr:cNvPr id="7" name="Chart 6">
          <a:extLst>
            <a:ext uri="{FF2B5EF4-FFF2-40B4-BE49-F238E27FC236}">
              <a16:creationId xmlns:a16="http://schemas.microsoft.com/office/drawing/2014/main" id="{448FCB0E-6987-7A4C-B58A-789EBF02D1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41</xdr:row>
      <xdr:rowOff>0</xdr:rowOff>
    </xdr:from>
    <xdr:to>
      <xdr:col>18</xdr:col>
      <xdr:colOff>543341</xdr:colOff>
      <xdr:row>79</xdr:row>
      <xdr:rowOff>178571</xdr:rowOff>
    </xdr:to>
    <xdr:graphicFrame macro="">
      <xdr:nvGraphicFramePr>
        <xdr:cNvPr id="8" name="Chart 7">
          <a:extLst>
            <a:ext uri="{FF2B5EF4-FFF2-40B4-BE49-F238E27FC236}">
              <a16:creationId xmlns:a16="http://schemas.microsoft.com/office/drawing/2014/main" id="{0274104C-C429-EE46-9A13-8A04C3AC21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476250</xdr:colOff>
      <xdr:row>0</xdr:row>
      <xdr:rowOff>1</xdr:rowOff>
    </xdr:from>
    <xdr:to>
      <xdr:col>2</xdr:col>
      <xdr:colOff>2300310</xdr:colOff>
      <xdr:row>0</xdr:row>
      <xdr:rowOff>990601</xdr:rowOff>
    </xdr:to>
    <xdr:pic>
      <xdr:nvPicPr>
        <xdr:cNvPr id="3" name="Picture 2">
          <a:extLst>
            <a:ext uri="{FF2B5EF4-FFF2-40B4-BE49-F238E27FC236}">
              <a16:creationId xmlns:a16="http://schemas.microsoft.com/office/drawing/2014/main" id="{4B2F3F4C-12A7-51C4-0236-B76936EBD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1"/>
          <a:ext cx="2614635" cy="990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23</xdr:col>
      <xdr:colOff>656308</xdr:colOff>
      <xdr:row>4</xdr:row>
      <xdr:rowOff>25400</xdr:rowOff>
    </xdr:from>
    <xdr:to>
      <xdr:col>23</xdr:col>
      <xdr:colOff>656308</xdr:colOff>
      <xdr:row>8</xdr:row>
      <xdr:rowOff>2983</xdr:rowOff>
    </xdr:to>
    <xdr:graphicFrame macro="">
      <xdr:nvGraphicFramePr>
        <xdr:cNvPr id="7" name="Chart 6">
          <a:extLst>
            <a:ext uri="{FF2B5EF4-FFF2-40B4-BE49-F238E27FC236}">
              <a16:creationId xmlns:a16="http://schemas.microsoft.com/office/drawing/2014/main" id="{76873657-5889-1C48-B24A-3444A8EC5F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71436</xdr:colOff>
      <xdr:row>42</xdr:row>
      <xdr:rowOff>178593</xdr:rowOff>
    </xdr:from>
    <xdr:to>
      <xdr:col>6</xdr:col>
      <xdr:colOff>1016530</xdr:colOff>
      <xdr:row>66</xdr:row>
      <xdr:rowOff>177468</xdr:rowOff>
    </xdr:to>
    <xdr:graphicFrame macro="">
      <xdr:nvGraphicFramePr>
        <xdr:cNvPr id="4" name="Chart 3">
          <a:extLst>
            <a:ext uri="{FF2B5EF4-FFF2-40B4-BE49-F238E27FC236}">
              <a16:creationId xmlns:a16="http://schemas.microsoft.com/office/drawing/2014/main" id="{3FB3D4E2-AABC-4E3F-B9A6-0F8AB4D18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7</xdr:col>
      <xdr:colOff>416717</xdr:colOff>
      <xdr:row>42</xdr:row>
      <xdr:rowOff>166687</xdr:rowOff>
    </xdr:from>
    <xdr:to>
      <xdr:col>16</xdr:col>
      <xdr:colOff>314061</xdr:colOff>
      <xdr:row>66</xdr:row>
      <xdr:rowOff>165562</xdr:rowOff>
    </xdr:to>
    <xdr:graphicFrame macro="">
      <xdr:nvGraphicFramePr>
        <xdr:cNvPr id="5" name="Chart 4">
          <a:extLst>
            <a:ext uri="{FF2B5EF4-FFF2-40B4-BE49-F238E27FC236}">
              <a16:creationId xmlns:a16="http://schemas.microsoft.com/office/drawing/2014/main" id="{3ECE6900-2AEF-4A19-B6AC-AD5140E1E7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23813</xdr:colOff>
      <xdr:row>0</xdr:row>
      <xdr:rowOff>47625</xdr:rowOff>
    </xdr:from>
    <xdr:to>
      <xdr:col>4</xdr:col>
      <xdr:colOff>11906</xdr:colOff>
      <xdr:row>7</xdr:row>
      <xdr:rowOff>54262</xdr:rowOff>
    </xdr:to>
    <xdr:pic>
      <xdr:nvPicPr>
        <xdr:cNvPr id="3" name="Picture 2">
          <a:extLst>
            <a:ext uri="{FF2B5EF4-FFF2-40B4-BE49-F238E27FC236}">
              <a16:creationId xmlns:a16="http://schemas.microsoft.com/office/drawing/2014/main" id="{477EE883-85A8-A6B5-4C24-3251956FB05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251" y="47625"/>
          <a:ext cx="6334124" cy="2399793"/>
        </a:xfrm>
        <a:prstGeom prst="rect">
          <a:avLst/>
        </a:prstGeom>
      </xdr:spPr>
    </xdr:pic>
    <xdr:clientData/>
  </xdr:twoCellAnchor>
</xdr:wsDr>
</file>

<file path=xl/drawings/drawing4.xml><?xml version="1.0" encoding="utf-8"?>
<c:userShapes xmlns:c="http://schemas.openxmlformats.org/drawingml/2006/chart">
  <cdr:relSizeAnchor xmlns:cdr="http://schemas.openxmlformats.org/drawingml/2006/chartDrawing">
    <cdr:from>
      <cdr:x>0.9585</cdr:x>
      <cdr:y>0.00397</cdr:y>
    </cdr:from>
    <cdr:to>
      <cdr:x>0.99525</cdr:x>
      <cdr:y>0.19778</cdr:y>
    </cdr:to>
    <cdr:sp macro="" textlink="">
      <cdr:nvSpPr>
        <cdr:cNvPr id="2" name="TextBox 1">
          <a:extLst xmlns:a="http://schemas.openxmlformats.org/drawingml/2006/main">
            <a:ext uri="{FF2B5EF4-FFF2-40B4-BE49-F238E27FC236}">
              <a16:creationId xmlns:a16="http://schemas.microsoft.com/office/drawing/2014/main" id="{44A1BFF6-BB54-B2F0-1AF9-2BC66A697E9C}"/>
            </a:ext>
          </a:extLst>
        </cdr:cNvPr>
        <cdr:cNvSpPr txBox="1"/>
      </cdr:nvSpPr>
      <cdr:spPr>
        <a:xfrm xmlns:a="http://schemas.openxmlformats.org/drawingml/2006/main" rot="16200000">
          <a:off x="8623103" y="729257"/>
          <a:ext cx="1744265" cy="3571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NZ" sz="1100" i="1">
              <a:solidFill>
                <a:srgbClr val="BD9CFF"/>
              </a:solidFill>
              <a:latin typeface="Work Sans" pitchFamily="2" charset="0"/>
            </a:rPr>
            <a:t>© thinkstep-anz, 2024</a:t>
          </a:r>
        </a:p>
      </cdr:txBody>
    </cdr:sp>
  </cdr:relSizeAnchor>
</c:userShapes>
</file>

<file path=xl/drawings/drawing5.xml><?xml version="1.0" encoding="utf-8"?>
<c:userShapes xmlns:c="http://schemas.openxmlformats.org/drawingml/2006/chart">
  <cdr:relSizeAnchor xmlns:cdr="http://schemas.openxmlformats.org/drawingml/2006/chartDrawing">
    <cdr:from>
      <cdr:x>0.96067</cdr:x>
      <cdr:y>0.00564</cdr:y>
    </cdr:from>
    <cdr:to>
      <cdr:x>0.99741</cdr:x>
      <cdr:y>0.19945</cdr:y>
    </cdr:to>
    <cdr:sp macro="" textlink="">
      <cdr:nvSpPr>
        <cdr:cNvPr id="2" name="TextBox 1">
          <a:extLst xmlns:a="http://schemas.openxmlformats.org/drawingml/2006/main">
            <a:ext uri="{FF2B5EF4-FFF2-40B4-BE49-F238E27FC236}">
              <a16:creationId xmlns:a16="http://schemas.microsoft.com/office/drawing/2014/main" id="{F178C9B4-8B57-E66D-0A5F-19105533DDF1}"/>
            </a:ext>
          </a:extLst>
        </cdr:cNvPr>
        <cdr:cNvSpPr txBox="1"/>
      </cdr:nvSpPr>
      <cdr:spPr>
        <a:xfrm xmlns:a="http://schemas.openxmlformats.org/drawingml/2006/main" rot="16200000">
          <a:off x="8644136" y="744339"/>
          <a:ext cx="1744265" cy="3571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NZ" sz="1100" i="1">
              <a:solidFill>
                <a:srgbClr val="BD9CFF"/>
              </a:solidFill>
              <a:latin typeface="Work Sans" pitchFamily="2" charset="0"/>
            </a:rPr>
            <a:t>© thinkstep-anz, 2024</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64408" cy="6291513"/>
    <xdr:graphicFrame macro="">
      <xdr:nvGraphicFramePr>
        <xdr:cNvPr id="2" name="Chart 1">
          <a:extLst>
            <a:ext uri="{FF2B5EF4-FFF2-40B4-BE49-F238E27FC236}">
              <a16:creationId xmlns:a16="http://schemas.microsoft.com/office/drawing/2014/main" id="{41952056-3D73-F411-7E56-6589D6AAB4C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1.1537E-7</cdr:x>
      <cdr:y>0</cdr:y>
    </cdr:from>
    <cdr:to>
      <cdr:x>0.15347</cdr:x>
      <cdr:y>0.08007</cdr:y>
    </cdr:to>
    <cdr:pic>
      <cdr:nvPicPr>
        <cdr:cNvPr id="3" name="Picture 2">
          <a:extLst xmlns:a="http://schemas.openxmlformats.org/drawingml/2006/main">
            <a:ext uri="{FF2B5EF4-FFF2-40B4-BE49-F238E27FC236}">
              <a16:creationId xmlns:a16="http://schemas.microsoft.com/office/drawing/2014/main" id="{448BF383-5EC4-D986-64AD-CD453201444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 y="0"/>
          <a:ext cx="1330281" cy="504000"/>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absoluteAnchor>
    <xdr:pos x="0" y="0"/>
    <xdr:ext cx="8664408" cy="6291513"/>
    <xdr:graphicFrame macro="">
      <xdr:nvGraphicFramePr>
        <xdr:cNvPr id="2" name="Chart 1">
          <a:extLst>
            <a:ext uri="{FF2B5EF4-FFF2-40B4-BE49-F238E27FC236}">
              <a16:creationId xmlns:a16="http://schemas.microsoft.com/office/drawing/2014/main" id="{232FF2E6-9CA7-5534-37F1-DC9E60872EB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1.1537E-7</cdr:x>
      <cdr:y>1.5887E-7</cdr:y>
    </cdr:from>
    <cdr:to>
      <cdr:x>0.15348</cdr:x>
      <cdr:y>0.08007</cdr:y>
    </cdr:to>
    <cdr:pic>
      <cdr:nvPicPr>
        <cdr:cNvPr id="3" name="Picture 2">
          <a:extLst xmlns:a="http://schemas.openxmlformats.org/drawingml/2006/main">
            <a:ext uri="{FF2B5EF4-FFF2-40B4-BE49-F238E27FC236}">
              <a16:creationId xmlns:a16="http://schemas.microsoft.com/office/drawing/2014/main" id="{3917C4B6-FD3B-BDF7-5BF7-56D08EB29E3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 y="1"/>
          <a:ext cx="1330282" cy="504000"/>
        </a:xfrm>
        <a:prstGeom xmlns:a="http://schemas.openxmlformats.org/drawingml/2006/main" prst="rect">
          <a:avLst/>
        </a:prstGeom>
      </cdr:spPr>
    </cdr:pic>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nz@thinkstep-anz.com" TargetMode="External"/><Relationship Id="rId2" Type="http://schemas.openxmlformats.org/officeDocument/2006/relationships/hyperlink" Target="http://www.thinkstep-anz.com/" TargetMode="External"/><Relationship Id="rId1" Type="http://schemas.openxmlformats.org/officeDocument/2006/relationships/hyperlink" Target="http://www.thinkstep-anz.com/" TargetMode="External"/><Relationship Id="rId6" Type="http://schemas.openxmlformats.org/officeDocument/2006/relationships/drawing" Target="../drawings/drawing1.xml"/><Relationship Id="rId5" Type="http://schemas.openxmlformats.org/officeDocument/2006/relationships/hyperlink" Target="mailto:feedback@thinkstep-anz.com" TargetMode="External"/><Relationship Id="rId4" Type="http://schemas.openxmlformats.org/officeDocument/2006/relationships/hyperlink" Target="mailto:anz@thinkstep-anz.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engage@thinkstep-anz.co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D023B-3E86-48BD-967E-36BE90F57EEE}">
  <dimension ref="B1:K38"/>
  <sheetViews>
    <sheetView showGridLines="0" showRowColHeaders="0" tabSelected="1" workbookViewId="0">
      <selection activeCell="I33" sqref="I33"/>
    </sheetView>
  </sheetViews>
  <sheetFormatPr defaultRowHeight="15" x14ac:dyDescent="0.25"/>
  <cols>
    <col min="1" max="1" width="3.7109375" customWidth="1"/>
    <col min="2" max="2" width="17.28515625" customWidth="1"/>
    <col min="3" max="3" width="21.140625" customWidth="1"/>
    <col min="4" max="4" width="27.140625" customWidth="1"/>
    <col min="6" max="6" width="10.140625" customWidth="1"/>
    <col min="7" max="7" width="11.5703125" customWidth="1"/>
    <col min="9" max="9" width="21" customWidth="1"/>
    <col min="10" max="10" width="23.140625" customWidth="1"/>
  </cols>
  <sheetData>
    <row r="1" spans="2:11" ht="15.75" x14ac:dyDescent="0.3">
      <c r="B1" s="25"/>
      <c r="C1" s="25"/>
      <c r="D1" s="25"/>
      <c r="E1" s="25"/>
      <c r="F1" s="25"/>
      <c r="G1" s="25"/>
      <c r="H1" s="25"/>
      <c r="I1" s="25"/>
      <c r="J1" s="25"/>
      <c r="K1" s="25"/>
    </row>
    <row r="2" spans="2:11" ht="23.25" x14ac:dyDescent="0.3">
      <c r="B2" s="26" t="s">
        <v>140</v>
      </c>
      <c r="C2" s="27"/>
      <c r="D2" s="27"/>
      <c r="E2" s="25"/>
      <c r="F2" s="25"/>
      <c r="G2" s="25"/>
      <c r="H2" s="25"/>
      <c r="I2" s="25"/>
      <c r="J2" s="25"/>
      <c r="K2" s="25"/>
    </row>
    <row r="3" spans="2:11" ht="15.75" x14ac:dyDescent="0.3">
      <c r="B3" s="25"/>
      <c r="C3" s="25"/>
      <c r="D3" s="25"/>
      <c r="E3" s="25"/>
      <c r="F3" s="25"/>
      <c r="G3" s="25"/>
      <c r="H3" s="25"/>
      <c r="I3" s="25"/>
      <c r="J3" s="25"/>
      <c r="K3" s="25"/>
    </row>
    <row r="4" spans="2:11" ht="15.75" x14ac:dyDescent="0.3">
      <c r="B4" s="25"/>
      <c r="C4" s="25"/>
      <c r="D4" s="25"/>
      <c r="E4" s="25"/>
      <c r="F4" s="25"/>
      <c r="G4" s="25"/>
      <c r="H4" s="25"/>
      <c r="I4" s="25"/>
      <c r="J4" s="25"/>
      <c r="K4" s="25"/>
    </row>
    <row r="5" spans="2:11" ht="15.75" x14ac:dyDescent="0.3">
      <c r="B5" s="28" t="s">
        <v>141</v>
      </c>
      <c r="C5" s="269" t="s">
        <v>178</v>
      </c>
      <c r="D5" s="269"/>
      <c r="E5" s="269"/>
      <c r="F5" s="25"/>
      <c r="G5" s="25"/>
      <c r="H5" s="25"/>
      <c r="I5" s="25"/>
      <c r="J5" s="25"/>
      <c r="K5" s="25"/>
    </row>
    <row r="6" spans="2:11" ht="15.75" x14ac:dyDescent="0.3">
      <c r="B6" s="29" t="s">
        <v>142</v>
      </c>
      <c r="C6" s="268" t="s">
        <v>177</v>
      </c>
      <c r="D6" s="268"/>
      <c r="E6" s="268"/>
      <c r="F6" s="25"/>
      <c r="G6" s="25"/>
      <c r="H6" s="25"/>
      <c r="I6" s="25"/>
      <c r="J6" s="25"/>
      <c r="K6" s="25"/>
    </row>
    <row r="7" spans="2:11" ht="15.75" x14ac:dyDescent="0.3">
      <c r="B7" s="29"/>
      <c r="C7" s="268"/>
      <c r="D7" s="268"/>
      <c r="E7" s="268"/>
      <c r="F7" s="25"/>
      <c r="G7" s="25"/>
      <c r="H7" s="25"/>
      <c r="I7" s="25"/>
      <c r="J7" s="25"/>
      <c r="K7" s="25"/>
    </row>
    <row r="8" spans="2:11" ht="15.75" x14ac:dyDescent="0.3">
      <c r="B8" s="28" t="s">
        <v>143</v>
      </c>
      <c r="C8" s="269" t="s">
        <v>177</v>
      </c>
      <c r="D8" s="269"/>
      <c r="E8" s="269"/>
      <c r="F8" s="25"/>
      <c r="G8" s="25"/>
      <c r="H8" s="25"/>
      <c r="I8" s="25"/>
      <c r="J8" s="25"/>
      <c r="K8" s="25"/>
    </row>
    <row r="9" spans="2:11" ht="15.75" x14ac:dyDescent="0.3">
      <c r="B9" s="29" t="s">
        <v>268</v>
      </c>
      <c r="C9" s="268" t="s">
        <v>274</v>
      </c>
      <c r="D9" s="268"/>
      <c r="E9" s="29"/>
      <c r="F9" s="25"/>
      <c r="G9" s="25"/>
      <c r="H9" s="25"/>
      <c r="I9" s="25"/>
      <c r="J9" s="25"/>
      <c r="K9" s="25"/>
    </row>
    <row r="10" spans="2:11" ht="15.75" x14ac:dyDescent="0.3">
      <c r="B10" s="29" t="s">
        <v>269</v>
      </c>
      <c r="C10" s="270">
        <v>45596</v>
      </c>
      <c r="D10" s="271"/>
      <c r="E10" s="29"/>
      <c r="F10" s="25"/>
      <c r="G10" s="25"/>
      <c r="H10" s="25"/>
      <c r="I10" s="25"/>
      <c r="J10" s="25"/>
      <c r="K10" s="25"/>
    </row>
    <row r="11" spans="2:11" ht="15.75" x14ac:dyDescent="0.3">
      <c r="B11" s="41" t="s">
        <v>270</v>
      </c>
      <c r="C11" s="272" t="s">
        <v>151</v>
      </c>
      <c r="D11" s="272"/>
      <c r="E11" s="41"/>
      <c r="F11" s="42"/>
      <c r="G11" s="42"/>
      <c r="H11" s="42"/>
      <c r="I11" s="42"/>
      <c r="J11" s="42"/>
      <c r="K11" s="42"/>
    </row>
    <row r="12" spans="2:11" ht="15.75" x14ac:dyDescent="0.3">
      <c r="B12" s="29" t="s">
        <v>145</v>
      </c>
      <c r="C12" s="268" t="s">
        <v>179</v>
      </c>
      <c r="D12" s="268"/>
      <c r="E12" s="268"/>
      <c r="F12" s="25"/>
      <c r="G12" s="25"/>
      <c r="H12" s="25"/>
      <c r="I12" s="25"/>
      <c r="J12" s="25"/>
      <c r="K12" s="25"/>
    </row>
    <row r="13" spans="2:11" ht="15.75" x14ac:dyDescent="0.3">
      <c r="B13" s="29" t="s">
        <v>146</v>
      </c>
      <c r="C13" s="268" t="s">
        <v>180</v>
      </c>
      <c r="D13" s="268"/>
      <c r="E13" s="268"/>
      <c r="F13" s="25"/>
      <c r="G13" s="25"/>
      <c r="H13" s="25"/>
      <c r="I13" s="25"/>
      <c r="J13" s="25"/>
      <c r="K13" s="25"/>
    </row>
    <row r="14" spans="2:11" ht="15.75" x14ac:dyDescent="0.3">
      <c r="B14" s="29" t="s">
        <v>147</v>
      </c>
      <c r="C14" s="268" t="s">
        <v>181</v>
      </c>
      <c r="D14" s="268"/>
      <c r="E14" s="268"/>
      <c r="F14" s="25"/>
      <c r="G14" s="25"/>
      <c r="H14" s="25"/>
      <c r="I14" s="25"/>
      <c r="J14" s="25"/>
      <c r="K14" s="25"/>
    </row>
    <row r="15" spans="2:11" ht="15.75" x14ac:dyDescent="0.3">
      <c r="B15" s="29" t="s">
        <v>148</v>
      </c>
      <c r="C15" s="268" t="s">
        <v>182</v>
      </c>
      <c r="D15" s="268"/>
      <c r="E15" s="268"/>
      <c r="F15" s="25"/>
      <c r="G15" s="25"/>
      <c r="H15" s="25"/>
      <c r="I15" s="25"/>
      <c r="J15" s="25"/>
      <c r="K15" s="25"/>
    </row>
    <row r="16" spans="2:11" ht="15.75" x14ac:dyDescent="0.3">
      <c r="B16" s="29" t="s">
        <v>149</v>
      </c>
      <c r="C16" s="268" t="s">
        <v>291</v>
      </c>
      <c r="D16" s="268"/>
      <c r="E16" s="268"/>
      <c r="F16" s="25"/>
      <c r="G16" s="25"/>
      <c r="H16" s="25"/>
      <c r="I16" s="25"/>
      <c r="J16" s="25"/>
      <c r="K16" s="25"/>
    </row>
    <row r="17" spans="2:11" ht="15.75" x14ac:dyDescent="0.3">
      <c r="B17" s="29"/>
      <c r="C17" s="268"/>
      <c r="D17" s="268"/>
      <c r="E17" s="268"/>
      <c r="F17" s="25"/>
      <c r="G17" s="25"/>
      <c r="H17" s="25"/>
      <c r="I17" s="25"/>
      <c r="J17" s="25"/>
      <c r="K17" s="25"/>
    </row>
    <row r="18" spans="2:11" ht="15.75" x14ac:dyDescent="0.3">
      <c r="B18" s="276" t="s">
        <v>150</v>
      </c>
      <c r="C18" s="28" t="s">
        <v>151</v>
      </c>
      <c r="D18" s="273" t="s">
        <v>152</v>
      </c>
      <c r="E18" s="273"/>
      <c r="F18" s="25"/>
      <c r="G18" s="25"/>
      <c r="H18" s="25"/>
      <c r="I18" s="28" t="s">
        <v>153</v>
      </c>
      <c r="J18" s="273" t="s">
        <v>152</v>
      </c>
      <c r="K18" s="273"/>
    </row>
    <row r="19" spans="2:11" ht="15.75" x14ac:dyDescent="0.3">
      <c r="B19" s="276"/>
      <c r="C19" s="25" t="s">
        <v>154</v>
      </c>
      <c r="D19" s="273" t="s">
        <v>155</v>
      </c>
      <c r="E19" s="273"/>
      <c r="F19" s="25"/>
      <c r="G19" s="25"/>
      <c r="H19" s="25"/>
      <c r="I19" s="29" t="s">
        <v>156</v>
      </c>
      <c r="J19" s="273" t="s">
        <v>155</v>
      </c>
      <c r="K19" s="273"/>
    </row>
    <row r="20" spans="2:11" ht="15.75" x14ac:dyDescent="0.3">
      <c r="B20" s="276"/>
      <c r="C20" s="25" t="s">
        <v>157</v>
      </c>
      <c r="D20" s="268" t="s">
        <v>158</v>
      </c>
      <c r="E20" s="268"/>
      <c r="F20" s="25"/>
      <c r="G20" s="25"/>
      <c r="H20" s="25"/>
      <c r="I20" s="29" t="s">
        <v>159</v>
      </c>
      <c r="J20" s="268" t="s">
        <v>160</v>
      </c>
      <c r="K20" s="268"/>
    </row>
    <row r="21" spans="2:11" ht="15.75" customHeight="1" x14ac:dyDescent="0.3">
      <c r="B21" s="276"/>
      <c r="C21" s="25" t="s">
        <v>161</v>
      </c>
      <c r="D21" s="274"/>
      <c r="E21" s="274"/>
      <c r="F21" s="25"/>
      <c r="G21" s="25"/>
      <c r="H21" s="25"/>
      <c r="I21" s="29" t="s">
        <v>162</v>
      </c>
      <c r="J21" s="25"/>
      <c r="K21" s="25"/>
    </row>
    <row r="22" spans="2:11" ht="15.75" x14ac:dyDescent="0.3">
      <c r="B22" s="276"/>
      <c r="C22" s="25" t="s">
        <v>163</v>
      </c>
      <c r="D22" s="274"/>
      <c r="E22" s="274"/>
      <c r="F22" s="25"/>
      <c r="G22" s="25"/>
      <c r="H22" s="25"/>
      <c r="I22" s="29" t="s">
        <v>164</v>
      </c>
      <c r="J22" s="25"/>
      <c r="K22" s="25"/>
    </row>
    <row r="23" spans="2:11" ht="15.75" x14ac:dyDescent="0.3">
      <c r="B23" s="29"/>
      <c r="C23" s="29"/>
      <c r="D23" s="268"/>
      <c r="E23" s="268"/>
      <c r="F23" s="25"/>
      <c r="G23" s="25"/>
      <c r="H23" s="25"/>
      <c r="I23" s="25"/>
      <c r="J23" s="25"/>
      <c r="K23" s="25"/>
    </row>
    <row r="24" spans="2:11" ht="15.75" x14ac:dyDescent="0.3">
      <c r="B24" s="25"/>
      <c r="C24" s="25"/>
      <c r="D24" s="25"/>
      <c r="E24" s="25"/>
      <c r="F24" s="25"/>
      <c r="G24" s="25"/>
      <c r="H24" s="25"/>
      <c r="I24" s="25"/>
      <c r="J24" s="25"/>
      <c r="K24" s="25"/>
    </row>
    <row r="25" spans="2:11" ht="15.75" x14ac:dyDescent="0.3">
      <c r="B25" s="30" t="s">
        <v>165</v>
      </c>
      <c r="C25" s="30" t="s">
        <v>144</v>
      </c>
      <c r="D25" s="30" t="s">
        <v>166</v>
      </c>
      <c r="E25" s="30" t="s">
        <v>167</v>
      </c>
      <c r="F25" s="30" t="s">
        <v>168</v>
      </c>
      <c r="G25" s="30" t="s">
        <v>169</v>
      </c>
      <c r="H25" s="25"/>
      <c r="I25" s="25"/>
      <c r="J25" s="25"/>
      <c r="K25" s="25"/>
    </row>
    <row r="26" spans="2:11" ht="15.75" x14ac:dyDescent="0.3">
      <c r="B26" s="31" t="s">
        <v>274</v>
      </c>
      <c r="C26" s="43">
        <v>45596</v>
      </c>
      <c r="D26" s="32" t="s">
        <v>170</v>
      </c>
      <c r="E26" s="32" t="s">
        <v>183</v>
      </c>
      <c r="F26" s="32" t="s">
        <v>290</v>
      </c>
      <c r="G26" s="32" t="s">
        <v>184</v>
      </c>
      <c r="H26" s="25"/>
      <c r="I26" s="25"/>
      <c r="J26" s="25"/>
      <c r="K26" s="25"/>
    </row>
    <row r="27" spans="2:11" ht="15.75" x14ac:dyDescent="0.3">
      <c r="B27" s="33"/>
      <c r="C27" s="34"/>
      <c r="D27" s="34"/>
      <c r="E27" s="34"/>
      <c r="F27" s="34"/>
      <c r="G27" s="34"/>
      <c r="H27" s="25"/>
      <c r="I27" s="25"/>
      <c r="J27" s="25"/>
      <c r="K27" s="25"/>
    </row>
    <row r="28" spans="2:11" ht="15.75" x14ac:dyDescent="0.3">
      <c r="B28" s="25"/>
      <c r="C28" s="25"/>
      <c r="D28" s="25"/>
      <c r="E28" s="25"/>
      <c r="F28" s="25"/>
      <c r="G28" s="25"/>
      <c r="H28" s="25"/>
      <c r="I28" s="25"/>
      <c r="J28" s="25"/>
      <c r="K28" s="25"/>
    </row>
    <row r="29" spans="2:11" ht="15.75" x14ac:dyDescent="0.3">
      <c r="B29" s="25"/>
      <c r="C29" s="25"/>
      <c r="D29" s="25"/>
      <c r="E29" s="25"/>
      <c r="F29" s="25"/>
      <c r="G29" s="25"/>
      <c r="H29" s="25"/>
      <c r="I29" s="25"/>
      <c r="J29" s="25"/>
      <c r="K29" s="25"/>
    </row>
    <row r="30" spans="2:11" ht="15.75" x14ac:dyDescent="0.3">
      <c r="B30" s="35" t="s">
        <v>171</v>
      </c>
      <c r="C30" s="36"/>
      <c r="D30" s="27"/>
      <c r="E30" s="25"/>
      <c r="F30" s="25"/>
      <c r="G30" s="25"/>
      <c r="H30" s="25"/>
      <c r="I30" s="25"/>
      <c r="J30" s="25"/>
      <c r="K30" s="25"/>
    </row>
    <row r="31" spans="2:11" ht="15.75" x14ac:dyDescent="0.3">
      <c r="B31" s="27"/>
      <c r="C31" s="27"/>
      <c r="D31" s="27"/>
      <c r="E31" s="25"/>
      <c r="F31" s="25"/>
      <c r="G31" s="25"/>
      <c r="H31" s="25"/>
      <c r="I31" s="25"/>
      <c r="J31" s="25"/>
      <c r="K31" s="25"/>
    </row>
    <row r="32" spans="2:11" ht="15.75" x14ac:dyDescent="0.3">
      <c r="B32" s="37" t="s">
        <v>172</v>
      </c>
      <c r="C32" s="36"/>
      <c r="D32" s="27"/>
      <c r="E32" s="25"/>
      <c r="F32" s="25"/>
      <c r="G32" s="25"/>
      <c r="H32" s="25"/>
      <c r="I32" s="25"/>
      <c r="J32" s="25"/>
      <c r="K32" s="25"/>
    </row>
    <row r="33" spans="2:11" ht="146.25" customHeight="1" x14ac:dyDescent="0.3">
      <c r="B33" s="275" t="s">
        <v>292</v>
      </c>
      <c r="C33" s="275"/>
      <c r="D33" s="275"/>
      <c r="E33" s="275"/>
      <c r="F33" s="275"/>
      <c r="G33" s="275"/>
      <c r="H33" s="25"/>
      <c r="I33" s="25"/>
      <c r="J33" s="25"/>
      <c r="K33" s="25"/>
    </row>
    <row r="34" spans="2:11" ht="15.75" x14ac:dyDescent="0.3">
      <c r="B34" s="38" t="s">
        <v>173</v>
      </c>
      <c r="C34" s="27"/>
      <c r="D34" s="39"/>
      <c r="E34" s="25"/>
      <c r="F34" s="25"/>
      <c r="G34" s="25"/>
      <c r="H34" s="25"/>
      <c r="I34" s="25"/>
      <c r="J34" s="25"/>
      <c r="K34" s="25"/>
    </row>
    <row r="35" spans="2:11" ht="15.75" x14ac:dyDescent="0.3">
      <c r="B35" s="40" t="s">
        <v>174</v>
      </c>
      <c r="C35" s="27"/>
      <c r="D35" s="39"/>
      <c r="E35" s="25"/>
      <c r="F35" s="25"/>
      <c r="G35" s="25"/>
      <c r="H35" s="25"/>
      <c r="I35" s="25"/>
      <c r="J35" s="25"/>
      <c r="K35" s="25"/>
    </row>
    <row r="36" spans="2:11" ht="15.75" x14ac:dyDescent="0.3">
      <c r="B36" s="27"/>
      <c r="C36" s="27"/>
      <c r="D36" s="27"/>
      <c r="E36" s="25"/>
      <c r="F36" s="25"/>
      <c r="G36" s="25"/>
      <c r="H36" s="25"/>
      <c r="I36" s="25"/>
      <c r="J36" s="25"/>
      <c r="K36" s="25"/>
    </row>
    <row r="37" spans="2:11" ht="15.75" x14ac:dyDescent="0.3">
      <c r="B37" s="37" t="s">
        <v>175</v>
      </c>
      <c r="C37" s="36"/>
      <c r="D37" s="27"/>
      <c r="E37" s="25"/>
      <c r="F37" s="25"/>
      <c r="G37" s="25"/>
      <c r="H37" s="25"/>
      <c r="I37" s="25"/>
      <c r="J37" s="25"/>
      <c r="K37" s="25"/>
    </row>
    <row r="38" spans="2:11" ht="55.5" customHeight="1" x14ac:dyDescent="0.3">
      <c r="B38" s="275" t="s">
        <v>176</v>
      </c>
      <c r="C38" s="275"/>
      <c r="D38" s="275"/>
      <c r="E38" s="275"/>
      <c r="F38" s="275"/>
      <c r="G38" s="275"/>
      <c r="H38" s="25"/>
      <c r="I38" s="25"/>
      <c r="J38" s="25"/>
      <c r="K38" s="25"/>
    </row>
  </sheetData>
  <sheetProtection algorithmName="SHA-512" hashValue="bo3swaxgWK5AoMLcPjgjdt5j1LC9j34kakfxiNfSNDAo93aQA+Ld1+aumhWtfxSSeJgrqRywV5XgFIh0/JphBQ==" saltValue="pfwc6YanIbSpw7ZlEBzK2A==" spinCount="100000" sheet="1" objects="1" scenarios="1" selectLockedCells="1" selectUnlockedCells="1"/>
  <mergeCells count="25">
    <mergeCell ref="D22:E22"/>
    <mergeCell ref="D23:E23"/>
    <mergeCell ref="B33:G33"/>
    <mergeCell ref="B38:G38"/>
    <mergeCell ref="C16:E16"/>
    <mergeCell ref="C17:E17"/>
    <mergeCell ref="B18:B22"/>
    <mergeCell ref="D18:E18"/>
    <mergeCell ref="D21:E21"/>
    <mergeCell ref="J18:K18"/>
    <mergeCell ref="D19:E19"/>
    <mergeCell ref="J19:K19"/>
    <mergeCell ref="D20:E20"/>
    <mergeCell ref="J20:K20"/>
    <mergeCell ref="C15:E15"/>
    <mergeCell ref="C5:E5"/>
    <mergeCell ref="C6:E6"/>
    <mergeCell ref="C7:E7"/>
    <mergeCell ref="C8:E8"/>
    <mergeCell ref="C9:D9"/>
    <mergeCell ref="C10:D10"/>
    <mergeCell ref="C11:D11"/>
    <mergeCell ref="C12:E12"/>
    <mergeCell ref="C13:E13"/>
    <mergeCell ref="C14:E14"/>
  </mergeCells>
  <hyperlinks>
    <hyperlink ref="D18" r:id="rId1" display="http://www.thinkstep-anz.com/" xr:uid="{09F04DDE-281F-4839-91A2-870F99AA5418}"/>
    <hyperlink ref="J18" r:id="rId2" display="http://www.thinkstep-anz.com/" xr:uid="{02BC3965-CA15-4C32-BDB1-78EE62D59323}"/>
    <hyperlink ref="D19" r:id="rId3" display="mailto:anz@thinkstep-anz.com" xr:uid="{27D8F22C-A18C-4103-86EB-67AD07FCBCC9}"/>
    <hyperlink ref="J19" r:id="rId4" display="mailto:anz@thinkstep-anz.com" xr:uid="{1BB02713-D72F-4D26-B940-A08EFF977530}"/>
    <hyperlink ref="B35" r:id="rId5" display="mailto:feedback@thinkstep-anz.com" xr:uid="{73D8AF4F-EE66-4A82-95A2-29CA9BD8E4CD}"/>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0A452-DD29-4E97-A6EC-716AB30E8E43}">
  <dimension ref="B1:C95"/>
  <sheetViews>
    <sheetView showGridLines="0" showRowColHeaders="0" zoomScaleNormal="100" workbookViewId="0">
      <selection activeCell="C95" sqref="C95"/>
    </sheetView>
  </sheetViews>
  <sheetFormatPr defaultRowHeight="18.75" x14ac:dyDescent="0.4"/>
  <cols>
    <col min="1" max="1" width="9.140625" style="44"/>
    <col min="2" max="2" width="2.7109375" style="128" customWidth="1"/>
    <col min="3" max="3" width="152.140625" style="129" customWidth="1"/>
    <col min="4" max="16384" width="9.140625" style="44"/>
  </cols>
  <sheetData>
    <row r="1" spans="2:3" ht="78.75" customHeight="1" x14ac:dyDescent="0.4"/>
    <row r="2" spans="2:3" ht="32.25" x14ac:dyDescent="0.65">
      <c r="B2" s="263" t="s">
        <v>282</v>
      </c>
    </row>
    <row r="3" spans="2:3" ht="37.5" customHeight="1" x14ac:dyDescent="0.4">
      <c r="B3" s="281" t="s">
        <v>275</v>
      </c>
      <c r="C3" s="282"/>
    </row>
    <row r="4" spans="2:3" ht="37.5" customHeight="1" x14ac:dyDescent="0.4">
      <c r="B4" s="283" t="s">
        <v>276</v>
      </c>
      <c r="C4" s="283"/>
    </row>
    <row r="5" spans="2:3" ht="37.5" customHeight="1" x14ac:dyDescent="0.4">
      <c r="B5" s="283" t="s">
        <v>281</v>
      </c>
      <c r="C5" s="283"/>
    </row>
    <row r="6" spans="2:3" ht="37.5" customHeight="1" x14ac:dyDescent="0.4">
      <c r="B6" s="283" t="s">
        <v>233</v>
      </c>
      <c r="C6" s="283"/>
    </row>
    <row r="7" spans="2:3" ht="37.5" customHeight="1" x14ac:dyDescent="0.4">
      <c r="B7" s="283" t="s">
        <v>277</v>
      </c>
      <c r="C7" s="283"/>
    </row>
    <row r="8" spans="2:3" ht="37.5" customHeight="1" x14ac:dyDescent="0.4">
      <c r="B8" s="279" t="s">
        <v>280</v>
      </c>
      <c r="C8" s="280"/>
    </row>
    <row r="9" spans="2:3" ht="18.75" customHeight="1" x14ac:dyDescent="0.4">
      <c r="B9" s="277" t="s">
        <v>278</v>
      </c>
      <c r="C9" s="278"/>
    </row>
    <row r="10" spans="2:3" x14ac:dyDescent="0.4">
      <c r="B10" s="266" t="s">
        <v>279</v>
      </c>
      <c r="C10"/>
    </row>
    <row r="11" spans="2:3" x14ac:dyDescent="0.4">
      <c r="B11" s="266"/>
      <c r="C11"/>
    </row>
    <row r="12" spans="2:3" ht="32.25" x14ac:dyDescent="0.65">
      <c r="B12" s="263" t="s">
        <v>191</v>
      </c>
    </row>
    <row r="13" spans="2:3" x14ac:dyDescent="0.4">
      <c r="B13" s="128" t="s">
        <v>192</v>
      </c>
    </row>
    <row r="15" spans="2:3" ht="23.25" x14ac:dyDescent="0.5">
      <c r="B15" s="130" t="s">
        <v>209</v>
      </c>
    </row>
    <row r="16" spans="2:3" ht="23.25" x14ac:dyDescent="0.5">
      <c r="B16" s="130"/>
    </row>
    <row r="17" spans="2:3" x14ac:dyDescent="0.4">
      <c r="B17" s="127" t="s">
        <v>214</v>
      </c>
    </row>
    <row r="18" spans="2:3" ht="18.75" customHeight="1" x14ac:dyDescent="0.4">
      <c r="B18" s="127"/>
      <c r="C18" s="129" t="s">
        <v>215</v>
      </c>
    </row>
    <row r="19" spans="2:3" x14ac:dyDescent="0.4">
      <c r="B19" s="127"/>
    </row>
    <row r="20" spans="2:3" x14ac:dyDescent="0.4">
      <c r="B20" s="127" t="s">
        <v>216</v>
      </c>
    </row>
    <row r="21" spans="2:3" ht="37.5" x14ac:dyDescent="0.4">
      <c r="C21" s="129" t="s">
        <v>237</v>
      </c>
    </row>
    <row r="23" spans="2:3" x14ac:dyDescent="0.4">
      <c r="B23" s="127" t="s">
        <v>217</v>
      </c>
    </row>
    <row r="24" spans="2:3" ht="37.5" customHeight="1" x14ac:dyDescent="0.4">
      <c r="C24" s="129" t="s">
        <v>255</v>
      </c>
    </row>
    <row r="25" spans="2:3" x14ac:dyDescent="0.4">
      <c r="C25" s="129" t="s">
        <v>193</v>
      </c>
    </row>
    <row r="26" spans="2:3" x14ac:dyDescent="0.4">
      <c r="B26" s="127" t="s">
        <v>218</v>
      </c>
    </row>
    <row r="27" spans="2:3" ht="18.75" customHeight="1" x14ac:dyDescent="0.4">
      <c r="C27" s="129" t="s">
        <v>234</v>
      </c>
    </row>
    <row r="28" spans="2:3" ht="18.75" customHeight="1" x14ac:dyDescent="0.4">
      <c r="C28" s="129" t="s">
        <v>262</v>
      </c>
    </row>
    <row r="29" spans="2:3" ht="18.75" customHeight="1" x14ac:dyDescent="0.4">
      <c r="C29" s="129" t="s">
        <v>235</v>
      </c>
    </row>
    <row r="30" spans="2:3" x14ac:dyDescent="0.4">
      <c r="C30" s="129" t="s">
        <v>256</v>
      </c>
    </row>
    <row r="31" spans="2:3" x14ac:dyDescent="0.4">
      <c r="C31" s="129" t="s">
        <v>236</v>
      </c>
    </row>
    <row r="33" spans="2:3" x14ac:dyDescent="0.4">
      <c r="B33" s="127" t="s">
        <v>257</v>
      </c>
    </row>
    <row r="34" spans="2:3" ht="58.5" customHeight="1" x14ac:dyDescent="0.4">
      <c r="C34" s="129" t="s">
        <v>238</v>
      </c>
    </row>
    <row r="36" spans="2:3" x14ac:dyDescent="0.4">
      <c r="B36" s="127" t="s">
        <v>219</v>
      </c>
    </row>
    <row r="37" spans="2:3" x14ac:dyDescent="0.4">
      <c r="C37" s="129" t="s">
        <v>194</v>
      </c>
    </row>
    <row r="38" spans="2:3" ht="18.75" customHeight="1" x14ac:dyDescent="0.4">
      <c r="C38" s="129" t="s">
        <v>230</v>
      </c>
    </row>
    <row r="39" spans="2:3" ht="18.75" customHeight="1" x14ac:dyDescent="0.4">
      <c r="C39" s="129" t="s">
        <v>258</v>
      </c>
    </row>
    <row r="40" spans="2:3" ht="18.75" customHeight="1" x14ac:dyDescent="0.4">
      <c r="C40" s="129" t="s">
        <v>231</v>
      </c>
    </row>
    <row r="41" spans="2:3" x14ac:dyDescent="0.4">
      <c r="C41" s="129" t="s">
        <v>232</v>
      </c>
    </row>
    <row r="42" spans="2:3" x14ac:dyDescent="0.4">
      <c r="C42" s="129" t="s">
        <v>259</v>
      </c>
    </row>
    <row r="43" spans="2:3" x14ac:dyDescent="0.4">
      <c r="C43" s="129" t="s">
        <v>195</v>
      </c>
    </row>
    <row r="45" spans="2:3" x14ac:dyDescent="0.4">
      <c r="B45" s="127" t="s">
        <v>220</v>
      </c>
    </row>
    <row r="46" spans="2:3" x14ac:dyDescent="0.4">
      <c r="C46" s="129" t="s">
        <v>239</v>
      </c>
    </row>
    <row r="47" spans="2:3" ht="18.75" customHeight="1" x14ac:dyDescent="0.4">
      <c r="C47" s="129" t="s">
        <v>197</v>
      </c>
    </row>
    <row r="48" spans="2:3" x14ac:dyDescent="0.4">
      <c r="C48" s="129" t="s">
        <v>260</v>
      </c>
    </row>
    <row r="49" spans="2:3" x14ac:dyDescent="0.4">
      <c r="C49" s="129" t="s">
        <v>240</v>
      </c>
    </row>
    <row r="51" spans="2:3" x14ac:dyDescent="0.4">
      <c r="B51" s="127" t="s">
        <v>221</v>
      </c>
    </row>
    <row r="52" spans="2:3" x14ac:dyDescent="0.4">
      <c r="C52" s="129" t="s">
        <v>196</v>
      </c>
    </row>
    <row r="53" spans="2:3" x14ac:dyDescent="0.4">
      <c r="C53" s="129" t="s">
        <v>228</v>
      </c>
    </row>
    <row r="54" spans="2:3" x14ac:dyDescent="0.4">
      <c r="C54" s="129" t="s">
        <v>229</v>
      </c>
    </row>
    <row r="55" spans="2:3" x14ac:dyDescent="0.4">
      <c r="C55" s="129" t="s">
        <v>261</v>
      </c>
    </row>
    <row r="56" spans="2:3" ht="18.75" customHeight="1" x14ac:dyDescent="0.4">
      <c r="C56" s="129" t="s">
        <v>263</v>
      </c>
    </row>
    <row r="57" spans="2:3" ht="18.75" customHeight="1" x14ac:dyDescent="0.4">
      <c r="C57" s="129" t="s">
        <v>241</v>
      </c>
    </row>
    <row r="58" spans="2:3" ht="18.75" customHeight="1" x14ac:dyDescent="0.4">
      <c r="C58" s="129" t="s">
        <v>242</v>
      </c>
    </row>
    <row r="59" spans="2:3" ht="18.75" customHeight="1" x14ac:dyDescent="0.4">
      <c r="C59" s="129" t="s">
        <v>264</v>
      </c>
    </row>
    <row r="61" spans="2:3" x14ac:dyDescent="0.4">
      <c r="B61" s="127" t="s">
        <v>222</v>
      </c>
    </row>
    <row r="62" spans="2:3" x14ac:dyDescent="0.4">
      <c r="C62" s="129" t="s">
        <v>198</v>
      </c>
    </row>
    <row r="63" spans="2:3" x14ac:dyDescent="0.4">
      <c r="C63" s="129" t="s">
        <v>266</v>
      </c>
    </row>
    <row r="64" spans="2:3" x14ac:dyDescent="0.4">
      <c r="C64" s="129" t="s">
        <v>267</v>
      </c>
    </row>
    <row r="65" spans="2:3" x14ac:dyDescent="0.4">
      <c r="C65" s="129" t="s">
        <v>265</v>
      </c>
    </row>
    <row r="67" spans="2:3" x14ac:dyDescent="0.4">
      <c r="B67" s="127" t="s">
        <v>223</v>
      </c>
    </row>
    <row r="68" spans="2:3" x14ac:dyDescent="0.4">
      <c r="C68" s="129" t="s">
        <v>243</v>
      </c>
    </row>
    <row r="69" spans="2:3" x14ac:dyDescent="0.4">
      <c r="C69" s="129" t="s">
        <v>244</v>
      </c>
    </row>
    <row r="70" spans="2:3" x14ac:dyDescent="0.4">
      <c r="C70" s="129" t="s">
        <v>245</v>
      </c>
    </row>
    <row r="71" spans="2:3" x14ac:dyDescent="0.4">
      <c r="C71" s="129" t="s">
        <v>246</v>
      </c>
    </row>
    <row r="72" spans="2:3" x14ac:dyDescent="0.4">
      <c r="C72" s="129" t="s">
        <v>247</v>
      </c>
    </row>
    <row r="73" spans="2:3" ht="18.75" customHeight="1" x14ac:dyDescent="0.4">
      <c r="C73" s="129" t="s">
        <v>248</v>
      </c>
    </row>
    <row r="75" spans="2:3" x14ac:dyDescent="0.4">
      <c r="B75" s="127" t="s">
        <v>224</v>
      </c>
    </row>
    <row r="76" spans="2:3" x14ac:dyDescent="0.4">
      <c r="C76" s="129" t="s">
        <v>199</v>
      </c>
    </row>
    <row r="78" spans="2:3" x14ac:dyDescent="0.4">
      <c r="B78" s="127" t="s">
        <v>225</v>
      </c>
    </row>
    <row r="79" spans="2:3" x14ac:dyDescent="0.4">
      <c r="C79" s="129" t="s">
        <v>200</v>
      </c>
    </row>
    <row r="80" spans="2:3" x14ac:dyDescent="0.4">
      <c r="C80" s="129" t="s">
        <v>201</v>
      </c>
    </row>
    <row r="81" spans="2:3" x14ac:dyDescent="0.4">
      <c r="C81" s="129" t="s">
        <v>202</v>
      </c>
    </row>
    <row r="82" spans="2:3" x14ac:dyDescent="0.4">
      <c r="C82" s="129" t="s">
        <v>203</v>
      </c>
    </row>
    <row r="84" spans="2:3" x14ac:dyDescent="0.4">
      <c r="B84" s="127" t="s">
        <v>226</v>
      </c>
    </row>
    <row r="85" spans="2:3" x14ac:dyDescent="0.4">
      <c r="C85" s="129" t="s">
        <v>204</v>
      </c>
    </row>
    <row r="86" spans="2:3" x14ac:dyDescent="0.4">
      <c r="C86" s="131" t="s">
        <v>205</v>
      </c>
    </row>
    <row r="87" spans="2:3" ht="37.5" x14ac:dyDescent="0.4">
      <c r="C87" s="129" t="s">
        <v>207</v>
      </c>
    </row>
    <row r="88" spans="2:3" x14ac:dyDescent="0.4">
      <c r="C88" s="131" t="s">
        <v>206</v>
      </c>
    </row>
    <row r="89" spans="2:3" x14ac:dyDescent="0.4">
      <c r="C89" s="129" t="s">
        <v>208</v>
      </c>
    </row>
    <row r="91" spans="2:3" x14ac:dyDescent="0.4">
      <c r="B91" s="127" t="s">
        <v>227</v>
      </c>
    </row>
    <row r="92" spans="2:3" ht="37.5" x14ac:dyDescent="0.4">
      <c r="C92" s="129" t="s">
        <v>284</v>
      </c>
    </row>
    <row r="93" spans="2:3" x14ac:dyDescent="0.4">
      <c r="C93" s="129" t="s">
        <v>210</v>
      </c>
    </row>
    <row r="94" spans="2:3" ht="37.5" x14ac:dyDescent="0.4">
      <c r="C94" s="129" t="s">
        <v>285</v>
      </c>
    </row>
    <row r="95" spans="2:3" ht="18.75" customHeight="1" x14ac:dyDescent="0.4"/>
  </sheetData>
  <sheetProtection algorithmName="SHA-512" hashValue="dOXLanonogrLs20VFFv4Bwp9DGKhldA0IACQeJQzPLeJJzPF83k+jzwAf9u85elNShhMtNhHbbLzJnGLWPzeCA==" saltValue="8iP5LpIuJPqqi77u2K3N8A==" spinCount="100000" sheet="1" objects="1" scenarios="1" selectLockedCells="1" selectUnlockedCells="1"/>
  <mergeCells count="7">
    <mergeCell ref="B9:C9"/>
    <mergeCell ref="B8:C8"/>
    <mergeCell ref="B3:C3"/>
    <mergeCell ref="B4:C4"/>
    <mergeCell ref="B5:C5"/>
    <mergeCell ref="B6:C6"/>
    <mergeCell ref="B7:C7"/>
  </mergeCells>
  <hyperlinks>
    <hyperlink ref="B9" r:id="rId1" xr:uid="{4E1B1320-B713-4126-9D82-52F3B8999CF6}"/>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3102E-6C99-ED4D-97E8-FF295B53F912}">
  <sheetPr>
    <pageSetUpPr fitToPage="1"/>
  </sheetPr>
  <dimension ref="B1:AQ130"/>
  <sheetViews>
    <sheetView showGridLines="0" showRowColHeaders="0" topLeftCell="A45" zoomScale="80" zoomScaleNormal="80" zoomScaleSheetLayoutView="50" workbookViewId="0">
      <selection activeCell="H17" sqref="H17"/>
    </sheetView>
  </sheetViews>
  <sheetFormatPr defaultColWidth="8.7109375" defaultRowHeight="18.75" x14ac:dyDescent="0.4"/>
  <cols>
    <col min="1" max="1" width="1" style="132" customWidth="1"/>
    <col min="2" max="2" width="59.85546875" style="132" customWidth="1"/>
    <col min="3" max="7" width="17.7109375" style="132" customWidth="1"/>
    <col min="8" max="8" width="17.7109375" style="132" bestFit="1" customWidth="1"/>
    <col min="9" max="14" width="17.7109375" style="132" customWidth="1"/>
    <col min="15" max="15" width="10.7109375" style="132" customWidth="1"/>
    <col min="16" max="16" width="12.85546875" style="132" customWidth="1"/>
    <col min="17" max="17" width="19" style="132" bestFit="1" customWidth="1"/>
    <col min="18" max="18" width="8.7109375" style="132" bestFit="1" customWidth="1"/>
    <col min="19" max="19" width="14.140625" style="132" hidden="1" customWidth="1"/>
    <col min="20" max="20" width="17.42578125" style="132" hidden="1" customWidth="1"/>
    <col min="21" max="22" width="14" style="132" hidden="1" customWidth="1"/>
    <col min="23" max="23" width="9.85546875" style="132" hidden="1" customWidth="1"/>
    <col min="24" max="24" width="1.85546875" style="132" hidden="1" customWidth="1"/>
    <col min="25" max="25" width="11" style="133" customWidth="1"/>
    <col min="26" max="26" width="1" style="132" customWidth="1"/>
    <col min="27" max="27" width="17.7109375" style="132" customWidth="1"/>
    <col min="28" max="28" width="17.5703125" style="132" customWidth="1"/>
    <col min="29" max="30" width="17.7109375" style="132" customWidth="1"/>
    <col min="31" max="31" width="1.5703125" style="132" customWidth="1"/>
    <col min="32" max="32" width="45" style="132" customWidth="1"/>
    <col min="33" max="33" width="17.7109375" style="132" customWidth="1"/>
    <col min="34" max="34" width="17.5703125" style="132" customWidth="1"/>
    <col min="35" max="35" width="14.28515625" style="132" bestFit="1" customWidth="1"/>
    <col min="36" max="36" width="14.28515625" style="132" hidden="1" customWidth="1"/>
    <col min="37" max="38" width="19.28515625" style="132" hidden="1" customWidth="1"/>
    <col min="39" max="39" width="23.140625" style="132" hidden="1" customWidth="1"/>
    <col min="40" max="40" width="15" style="132" hidden="1" customWidth="1"/>
    <col min="41" max="41" width="14.85546875" style="132" hidden="1" customWidth="1"/>
    <col min="42" max="42" width="8.7109375" style="132" hidden="1" customWidth="1"/>
    <col min="43" max="43" width="20.85546875" style="132" hidden="1" customWidth="1"/>
    <col min="44" max="44" width="0" style="132" hidden="1" customWidth="1"/>
    <col min="45" max="16384" width="8.7109375" style="132"/>
  </cols>
  <sheetData>
    <row r="1" spans="2:43" ht="19.5" thickBot="1" x14ac:dyDescent="0.45"/>
    <row r="2" spans="2:43" ht="29.1" customHeight="1" thickBot="1" x14ac:dyDescent="0.45">
      <c r="B2" s="134" t="s">
        <v>185</v>
      </c>
      <c r="C2" s="135"/>
      <c r="D2" s="135"/>
      <c r="E2" s="136" t="s">
        <v>212</v>
      </c>
      <c r="F2" s="306" t="s">
        <v>271</v>
      </c>
      <c r="G2" s="307"/>
      <c r="H2" s="308"/>
      <c r="I2" s="135"/>
      <c r="J2" s="135"/>
      <c r="K2" s="135"/>
      <c r="L2" s="135"/>
      <c r="M2" s="135"/>
      <c r="N2" s="135"/>
      <c r="O2" s="135"/>
      <c r="P2" s="135"/>
      <c r="Q2" s="135"/>
      <c r="R2" s="135"/>
    </row>
    <row r="3" spans="2:43" ht="26.1" customHeight="1" x14ac:dyDescent="0.4">
      <c r="B3" s="135"/>
      <c r="C3" s="135"/>
      <c r="D3" s="135"/>
      <c r="E3" s="318" t="s">
        <v>211</v>
      </c>
      <c r="F3" s="309" t="s">
        <v>289</v>
      </c>
      <c r="G3" s="310"/>
      <c r="H3" s="311"/>
      <c r="I3" s="135"/>
      <c r="J3" s="135"/>
      <c r="K3" s="135"/>
      <c r="L3" s="135"/>
      <c r="M3" s="135"/>
      <c r="N3" s="135"/>
      <c r="O3" s="135"/>
      <c r="P3" s="135"/>
      <c r="Q3" s="135"/>
      <c r="R3" s="135"/>
    </row>
    <row r="4" spans="2:43" ht="30.95" customHeight="1" x14ac:dyDescent="0.4">
      <c r="B4" s="135"/>
      <c r="C4" s="135"/>
      <c r="D4" s="135"/>
      <c r="E4" s="319"/>
      <c r="F4" s="312"/>
      <c r="G4" s="313"/>
      <c r="H4" s="314"/>
      <c r="I4" s="135"/>
      <c r="J4" s="135"/>
      <c r="K4" s="135"/>
      <c r="L4" s="135"/>
      <c r="M4" s="135"/>
      <c r="N4" s="135"/>
      <c r="O4" s="135"/>
      <c r="P4" s="135"/>
      <c r="Q4" s="135"/>
      <c r="R4" s="135"/>
    </row>
    <row r="5" spans="2:43" ht="42.95" customHeight="1" thickBot="1" x14ac:dyDescent="0.45">
      <c r="E5" s="320"/>
      <c r="F5" s="315"/>
      <c r="G5" s="316"/>
      <c r="H5" s="317"/>
      <c r="AE5" s="44"/>
    </row>
    <row r="6" spans="2:43" ht="20.25" thickBot="1" x14ac:dyDescent="0.45">
      <c r="E6" s="137" t="s">
        <v>213</v>
      </c>
      <c r="F6" s="321" t="s">
        <v>272</v>
      </c>
      <c r="G6" s="322"/>
      <c r="H6" s="323"/>
      <c r="I6" s="138"/>
      <c r="J6" s="138"/>
      <c r="K6" s="138"/>
      <c r="L6" s="138"/>
      <c r="M6" s="138"/>
      <c r="N6" s="138"/>
      <c r="O6" s="138"/>
      <c r="T6" s="139"/>
      <c r="V6" s="139"/>
      <c r="AK6" s="138" t="s">
        <v>127</v>
      </c>
    </row>
    <row r="7" spans="2:43" ht="20.25" thickBot="1" x14ac:dyDescent="0.45">
      <c r="E7" s="137" t="s">
        <v>254</v>
      </c>
      <c r="F7" s="328" t="str">
        <f>CONCATENATE(Information!C8," ","(",Information!C9,"-",Information!C15,")")</f>
        <v>MCI Calculator thinkstep-anz 2024 (V1.0-Public)</v>
      </c>
      <c r="G7" s="329"/>
      <c r="H7" s="330"/>
      <c r="AK7" s="132" t="s">
        <v>128</v>
      </c>
    </row>
    <row r="8" spans="2:43" ht="19.5" thickBot="1" x14ac:dyDescent="0.45">
      <c r="F8" s="45"/>
      <c r="G8" s="141"/>
      <c r="H8" s="141"/>
      <c r="I8" s="141"/>
      <c r="J8" s="141"/>
      <c r="K8" s="141"/>
      <c r="L8" s="141"/>
      <c r="M8" s="141"/>
      <c r="N8" s="141"/>
      <c r="O8" s="141"/>
      <c r="AK8" s="132" t="s">
        <v>138</v>
      </c>
    </row>
    <row r="9" spans="2:43" s="138" customFormat="1" ht="19.5" thickBot="1" x14ac:dyDescent="0.45">
      <c r="E9" s="302" t="s">
        <v>286</v>
      </c>
      <c r="F9" s="324"/>
      <c r="G9" s="325"/>
      <c r="H9" s="337" t="s">
        <v>47</v>
      </c>
      <c r="I9" s="342" t="s">
        <v>55</v>
      </c>
      <c r="J9" s="343"/>
      <c r="K9" s="342" t="s">
        <v>50</v>
      </c>
      <c r="L9" s="343"/>
      <c r="M9" s="342" t="s">
        <v>52</v>
      </c>
      <c r="N9" s="343"/>
      <c r="O9" s="143"/>
      <c r="P9" s="302" t="s">
        <v>287</v>
      </c>
      <c r="Q9" s="303"/>
      <c r="R9" s="352" t="s">
        <v>0</v>
      </c>
      <c r="S9" s="358" t="s">
        <v>3</v>
      </c>
      <c r="T9" s="361" t="s">
        <v>7</v>
      </c>
      <c r="U9" s="361" t="s">
        <v>10</v>
      </c>
      <c r="V9" s="364" t="s">
        <v>76</v>
      </c>
      <c r="W9" s="144"/>
      <c r="X9" s="144"/>
      <c r="Y9" s="356" t="s">
        <v>190</v>
      </c>
      <c r="AA9" s="302" t="s">
        <v>79</v>
      </c>
      <c r="AB9" s="325"/>
      <c r="AC9" s="325"/>
      <c r="AD9" s="303"/>
      <c r="AF9" s="344" t="s">
        <v>78</v>
      </c>
      <c r="AG9" s="142" t="s">
        <v>80</v>
      </c>
      <c r="AH9" s="145" t="s">
        <v>81</v>
      </c>
    </row>
    <row r="10" spans="2:43" s="138" customFormat="1" ht="15.75" customHeight="1" thickBot="1" x14ac:dyDescent="0.45">
      <c r="B10" s="331" t="s">
        <v>1</v>
      </c>
      <c r="C10" s="146" t="s">
        <v>189</v>
      </c>
      <c r="D10" s="298" t="s">
        <v>2</v>
      </c>
      <c r="E10" s="333" t="s">
        <v>4</v>
      </c>
      <c r="F10" s="296" t="s">
        <v>5</v>
      </c>
      <c r="G10" s="300" t="s">
        <v>6</v>
      </c>
      <c r="H10" s="338"/>
      <c r="I10" s="340" t="s">
        <v>66</v>
      </c>
      <c r="J10" s="341"/>
      <c r="K10" s="335" t="s">
        <v>58</v>
      </c>
      <c r="L10" s="336"/>
      <c r="M10" s="335" t="str">
        <f>C11</f>
        <v>tonnes</v>
      </c>
      <c r="N10" s="336"/>
      <c r="O10" s="147"/>
      <c r="P10" s="347" t="s">
        <v>8</v>
      </c>
      <c r="Q10" s="354" t="s">
        <v>9</v>
      </c>
      <c r="R10" s="353"/>
      <c r="S10" s="359"/>
      <c r="T10" s="362"/>
      <c r="U10" s="362"/>
      <c r="V10" s="365"/>
      <c r="W10" s="144"/>
      <c r="X10" s="144"/>
      <c r="Y10" s="357"/>
      <c r="AA10" s="347" t="s">
        <v>73</v>
      </c>
      <c r="AB10" s="300" t="s">
        <v>74</v>
      </c>
      <c r="AC10" s="300" t="s">
        <v>75</v>
      </c>
      <c r="AD10" s="350" t="s">
        <v>77</v>
      </c>
      <c r="AF10" s="345"/>
      <c r="AG10" s="148" t="str">
        <f>CONCATENATE("(",C11,")")</f>
        <v>(tonnes)</v>
      </c>
      <c r="AH10" s="149" t="str">
        <f>AG10</f>
        <v>(tonnes)</v>
      </c>
    </row>
    <row r="11" spans="2:43" s="138" customFormat="1" ht="57" thickBot="1" x14ac:dyDescent="0.45">
      <c r="B11" s="332"/>
      <c r="C11" s="211" t="s">
        <v>69</v>
      </c>
      <c r="D11" s="299"/>
      <c r="E11" s="334"/>
      <c r="F11" s="297"/>
      <c r="G11" s="301"/>
      <c r="H11" s="339"/>
      <c r="I11" s="150" t="s">
        <v>48</v>
      </c>
      <c r="J11" s="151" t="s">
        <v>49</v>
      </c>
      <c r="K11" s="150" t="s">
        <v>51</v>
      </c>
      <c r="L11" s="151" t="s">
        <v>188</v>
      </c>
      <c r="M11" s="150" t="s">
        <v>53</v>
      </c>
      <c r="N11" s="151" t="s">
        <v>54</v>
      </c>
      <c r="O11" s="152" t="s">
        <v>186</v>
      </c>
      <c r="P11" s="367"/>
      <c r="Q11" s="355"/>
      <c r="R11" s="353"/>
      <c r="S11" s="360"/>
      <c r="T11" s="363"/>
      <c r="U11" s="363"/>
      <c r="V11" s="366"/>
      <c r="W11" s="153" t="s">
        <v>11</v>
      </c>
      <c r="X11" s="144"/>
      <c r="Y11" s="357"/>
      <c r="AA11" s="348"/>
      <c r="AB11" s="349"/>
      <c r="AC11" s="349"/>
      <c r="AD11" s="351"/>
      <c r="AF11" s="346"/>
      <c r="AG11" s="154"/>
      <c r="AH11" s="155"/>
      <c r="AJ11" s="156" t="s">
        <v>123</v>
      </c>
      <c r="AK11" s="157" t="s">
        <v>124</v>
      </c>
      <c r="AL11" s="158" t="s">
        <v>125</v>
      </c>
      <c r="AM11" s="158" t="s">
        <v>126</v>
      </c>
      <c r="AN11" s="158" t="s">
        <v>121</v>
      </c>
      <c r="AO11" s="159" t="s">
        <v>122</v>
      </c>
      <c r="AQ11" s="160" t="s">
        <v>137</v>
      </c>
    </row>
    <row r="12" spans="2:43" x14ac:dyDescent="0.4">
      <c r="B12" s="110" t="s">
        <v>129</v>
      </c>
      <c r="C12" s="90">
        <v>7500</v>
      </c>
      <c r="D12" s="91">
        <v>1</v>
      </c>
      <c r="E12" s="92" t="s">
        <v>31</v>
      </c>
      <c r="F12" s="93" t="s">
        <v>20</v>
      </c>
      <c r="G12" s="94"/>
      <c r="H12" s="111" t="s">
        <v>55</v>
      </c>
      <c r="I12" s="112">
        <v>100</v>
      </c>
      <c r="J12" s="112">
        <v>50</v>
      </c>
      <c r="K12" s="112"/>
      <c r="L12" s="112"/>
      <c r="M12" s="112"/>
      <c r="N12" s="113"/>
      <c r="O12" s="114">
        <f>IF(ISBLANK(H12), IF(ISBLANK(E12), "", 1),
   IF(H12="Lifetime", IF(OR(ISBLANK(I12), ISBLANK(J12)), 1, I12/J12),
   IF(H12="Utility", IF(OR(ISBLANK(K12), ISBLANK(L12)), 1, K12/L12),
   IF(H12="Mass", IF(OR(ISBLANK(M12), ISBLANK(N12)), 1, N12/M12),
   IF(H12="Lifetime &amp; Mass", (IF(OR(ISBLANK(I12), ISBLANK(J12)), 1, I12/J12) * IF(OR(ISBLANK(M12), ISBLANK(N12)), 1, N12/M12)),
   IF(H12="Utility &amp; Mass", (IF(OR(ISBLANK(K12), ISBLANK(L12)), 1, K12/L12) * IF(OR(ISBLANK(M12), ISBLANK(N12)), 1, N12/M12)),
   "Invalid Option"))))))</f>
        <v>2</v>
      </c>
      <c r="P12" s="87">
        <v>0.9</v>
      </c>
      <c r="Q12" s="88" t="s">
        <v>13</v>
      </c>
      <c r="R12" s="161">
        <f>IF(E12="","",IF(W12="","",IF((1-W12*(0.9/$O12))&lt;0,0,(1-W12*(0.9/$O12)))))</f>
        <v>0.57025000000000003</v>
      </c>
      <c r="S12" s="75">
        <f>IF(E12="","",C12*D12)</f>
        <v>7500</v>
      </c>
      <c r="T12" s="53">
        <f>IF(E12="","",IF(F12="Reuse",0,IF(F12="Reman",(S12*0.05),IF(F12="Recycle",((1-VLOOKUP(E12,List!$B$3:$C$62,2,FALSE))*S12),IF(AND(F12="Virgin",VLOOKUP(E12,List!$B$3:$E$62,4,FALSE)="Yes"),(S12-(G12*S12)),S12)))))</f>
        <v>7500</v>
      </c>
      <c r="U12" s="53">
        <f>IF(E12="","",(S12*(1-P12))+IF(Q12="Reuse",0,IF(Q12="Reman",(S12*P12*0.05),IF(Q12="Recycle",((1-(VLOOKUP(E12,List!$B$3:$D$62,3,FALSE)))*(S12*P12)),IF(AND(Q12="Compost",VLOOKUP(E12,List!$B$3:$E$62,4,FALSE)="Yes"),0,IF(AND(Q12="Energy Recovery",VLOOKUP(E12,List!$B$3:$F$62,5,FALSE)="Yes"),((S12*P12*(1-G12))+(S12*P12*G12*0.55)),(S12*P12)))))))</f>
        <v>6825</v>
      </c>
      <c r="V12" s="53">
        <f>IF(OR(S12=0,E12=""),"",S12*AC12)</f>
        <v>3581.25</v>
      </c>
      <c r="W12" s="162">
        <f>IF(E12="","",IF(S12=0,"",((T12+U12)/(2*S12))))</f>
        <v>0.95499999999999996</v>
      </c>
      <c r="X12" s="163"/>
      <c r="Y12" s="78">
        <f>IF(E12="","",IF(S12=0,"",IF(((S12-(T12*(1/O12)))+(S12-(U12*(1/O12))))/(2*S12)&lt;0,0,((S12-(T12*(1/O12)))+(S12-(U12*(1/O12))))/(2*S12))))</f>
        <v>0.52249999999999996</v>
      </c>
      <c r="AA12" s="65">
        <f>IF(OR(S12=0,E12=""),"",(1-(T12/S12))/2)</f>
        <v>0</v>
      </c>
      <c r="AB12" s="66">
        <f>IF(OR(S12=0,E12=""),"",(1-(U12/S12))/2)</f>
        <v>4.4999999999999984E-2</v>
      </c>
      <c r="AC12" s="66">
        <f>IF(OR(S12=0,E12=""),"",Y12-AA12-AB12)</f>
        <v>0.47749999999999998</v>
      </c>
      <c r="AD12" s="67">
        <f>IF(Y12="","",1-SUM(AA12:AC12))</f>
        <v>0.47750000000000004</v>
      </c>
      <c r="AF12" s="105"/>
      <c r="AG12" s="58">
        <f>IF(OR(S12=0,E12=""),"",S12*Y12)</f>
        <v>3918.7499999999995</v>
      </c>
      <c r="AH12" s="59">
        <f>IF(OR(S12=0,E12=""),"",-S12*AD12)</f>
        <v>-3581.2500000000005</v>
      </c>
      <c r="AJ12" s="164">
        <f t="shared" ref="AJ12:AJ41" si="0">IF(OR(E12="",(C12*D12)=0),"",((C12*D12)*(2*AA12)))</f>
        <v>0</v>
      </c>
      <c r="AK12" s="165">
        <f t="shared" ref="AK12:AK41" si="1">IF(AJ12="","",AJ12/(C12*D12))</f>
        <v>0</v>
      </c>
      <c r="AL12" s="166">
        <f t="shared" ref="AL12:AL41" si="2">IF(OR(E12="",P12=""),"",(2*AB12)*(C12*D12))</f>
        <v>674.99999999999977</v>
      </c>
      <c r="AM12" s="167">
        <f t="shared" ref="AM12:AM41" si="3">IF(AL12="","",AL12/(C12*D12))</f>
        <v>8.9999999999999969E-2</v>
      </c>
      <c r="AN12" s="46">
        <f>IF(OR(AJ12="",AL12=""),"",AVERAGE(AK12,AM12))</f>
        <v>4.4999999999999984E-2</v>
      </c>
      <c r="AO12" s="168">
        <f t="shared" ref="AO12:AO41" si="4">O12</f>
        <v>2</v>
      </c>
      <c r="AQ12" s="169">
        <f>IF(AN12="","",1-((1-AN12)/AO12))</f>
        <v>0.52249999999999996</v>
      </c>
    </row>
    <row r="13" spans="2:43" x14ac:dyDescent="0.4">
      <c r="B13" s="89" t="s">
        <v>130</v>
      </c>
      <c r="C13" s="90">
        <v>2500</v>
      </c>
      <c r="D13" s="91">
        <v>10</v>
      </c>
      <c r="E13" s="92" t="s">
        <v>29</v>
      </c>
      <c r="F13" s="93" t="s">
        <v>13</v>
      </c>
      <c r="G13" s="94"/>
      <c r="H13" s="95"/>
      <c r="I13" s="82"/>
      <c r="J13" s="82"/>
      <c r="K13" s="82"/>
      <c r="L13" s="82"/>
      <c r="M13" s="82"/>
      <c r="N13" s="96"/>
      <c r="O13" s="170">
        <f t="shared" ref="O13:O41" si="5">IF(ISBLANK(H13), IF(ISBLANK(E13), "", 1),
   IF(H13="Lifetime", IF(OR(ISBLANK(I13), ISBLANK(J13)), 1, I13/J13),
   IF(H13="Utility", IF(OR(ISBLANK(K13), ISBLANK(L13)), 1, K13/L13),
   IF(H13="Mass", IF(OR(ISBLANK(M13), ISBLANK(N13)), 1, N13/M13),
   IF(H13="Lifetime &amp; Mass", (IF(OR(ISBLANK(I13), ISBLANK(J13)), 1, I13/J13) * IF(OR(ISBLANK(M13), ISBLANK(N13)), 1, N13/M13)),
   IF(H13="Utility &amp; Mass", (IF(OR(ISBLANK(K13), ISBLANK(L13)), 1, K13/L13) * IF(OR(ISBLANK(M13), ISBLANK(N13)), 1, N13/M13)),
   "Invalid Option"))))))</f>
        <v>1</v>
      </c>
      <c r="P13" s="95">
        <v>1</v>
      </c>
      <c r="Q13" s="94" t="s">
        <v>12</v>
      </c>
      <c r="R13" s="171">
        <f t="shared" ref="R13:R41" si="6">IF(E13="","",IF(W13="","",IF((1-W13*(0.9/$O13))&lt;0,0,(1-W13*(0.9/$O13)))))</f>
        <v>0.70750000000000002</v>
      </c>
      <c r="S13" s="76">
        <f t="shared" ref="S13:S41" si="7">IF(E13="","",C13*D13)</f>
        <v>25000</v>
      </c>
      <c r="T13" s="54">
        <f>IF(E13="","",IF(F13="Reuse",0,IF(F13="Reman",(S13*0.05),IF(F13="Recycle",((1-VLOOKUP(E13,List!$B$3:$C$62,2,FALSE))*S13),IF(AND(F13="Virgin",VLOOKUP(E13,List!$B$3:$E$62,4,FALSE)="Yes"),(S13-(G13*S13)),S13)))))</f>
        <v>16250</v>
      </c>
      <c r="U13" s="54">
        <f>IF(E13="","",(S13*(1-P13))+IF(Q13="Reuse",0,IF(Q13="Reman",(S13*P13*0.05),IF(Q13="Recycle",((1-(VLOOKUP(E13,List!$B$3:$D$62,3,FALSE)))*(S13*P13)),IF(AND(Q13="Compost",VLOOKUP(E13,List!$B$3:$E$62,4,FALSE)="Yes"),0,IF(AND(Q13="Energy Recovery",VLOOKUP(E13,List!$B$3:$F$62,5,FALSE)="Yes"),((S13*P13*(1-G13))+(S13*P13*G13*0.55)),(S13*P13)))))))</f>
        <v>0</v>
      </c>
      <c r="V13" s="54">
        <f t="shared" ref="V13:V41" si="8">IF(OR(S13=0,E13=""),"",S13*AC13)</f>
        <v>0</v>
      </c>
      <c r="W13" s="172">
        <f>IF(E13="","",IF(S13=0,"",((T13+U13)/(2*S13))))</f>
        <v>0.32500000000000001</v>
      </c>
      <c r="X13" s="163"/>
      <c r="Y13" s="79">
        <f t="shared" ref="Y13:Y40" si="9">IF(E13="","",IF(S13=0,"",IF(((S13-(T13*(1/O13)))+(S13-(U13*(1/O13))))/(2*S13)&lt;0,0,((S13-(T13*(1/O13)))+(S13-(U13*(1/O13))))/(2*S13))))</f>
        <v>0.67500000000000004</v>
      </c>
      <c r="AA13" s="68">
        <f t="shared" ref="AA13:AA41" si="10">IF(OR(S13=0,E13=""),"",(1-(T13/S13))/2)</f>
        <v>0.17499999999999999</v>
      </c>
      <c r="AB13" s="64">
        <f t="shared" ref="AB13:AB41" si="11">IF(OR(S13=0,E13=""),"",(1-(U13/S13))/2)</f>
        <v>0.5</v>
      </c>
      <c r="AC13" s="64">
        <f t="shared" ref="AC13:AC41" si="12">IF(OR(S13=0,E13=""),"",Y13-AA13-AB13)</f>
        <v>0</v>
      </c>
      <c r="AD13" s="69">
        <f t="shared" ref="AD13:AD41" si="13">IF(Y13="","",1-SUM(AA13:AC13))</f>
        <v>0.32499999999999996</v>
      </c>
      <c r="AF13" s="106"/>
      <c r="AG13" s="60">
        <f t="shared" ref="AG13:AG41" si="14">IF(OR(S13=0,E13=""),"",S13*Y13)</f>
        <v>16875</v>
      </c>
      <c r="AH13" s="61">
        <f t="shared" ref="AH13:AH41" si="15">IF(OR(S13=0,E13=""),"",-S13*AD13)</f>
        <v>-8124.9999999999991</v>
      </c>
      <c r="AJ13" s="164">
        <f t="shared" si="0"/>
        <v>8750</v>
      </c>
      <c r="AK13" s="173">
        <f t="shared" si="1"/>
        <v>0.35</v>
      </c>
      <c r="AL13" s="174">
        <f t="shared" si="2"/>
        <v>25000</v>
      </c>
      <c r="AM13" s="175">
        <f t="shared" si="3"/>
        <v>1</v>
      </c>
      <c r="AN13" s="47">
        <f t="shared" ref="AN13:AN41" si="16">IF(OR(AJ13="",AL13=""),"",AVERAGE(AK13,AM13))</f>
        <v>0.67500000000000004</v>
      </c>
      <c r="AO13" s="176">
        <f t="shared" si="4"/>
        <v>1</v>
      </c>
      <c r="AQ13" s="177">
        <f t="shared" ref="AQ13:AQ42" si="17">IF(AN13="","",1-((1-AN13)/AO13))</f>
        <v>0.67500000000000004</v>
      </c>
    </row>
    <row r="14" spans="2:43" x14ac:dyDescent="0.4">
      <c r="B14" s="89" t="s">
        <v>131</v>
      </c>
      <c r="C14" s="90">
        <v>1200</v>
      </c>
      <c r="D14" s="91">
        <v>20</v>
      </c>
      <c r="E14" s="92" t="s">
        <v>29</v>
      </c>
      <c r="F14" s="93" t="s">
        <v>13</v>
      </c>
      <c r="G14" s="94"/>
      <c r="H14" s="95"/>
      <c r="I14" s="82"/>
      <c r="J14" s="82"/>
      <c r="K14" s="82"/>
      <c r="L14" s="82"/>
      <c r="M14" s="82"/>
      <c r="N14" s="96"/>
      <c r="O14" s="170">
        <f t="shared" si="5"/>
        <v>1</v>
      </c>
      <c r="P14" s="95">
        <v>1</v>
      </c>
      <c r="Q14" s="94" t="s">
        <v>13</v>
      </c>
      <c r="R14" s="171">
        <f t="shared" si="6"/>
        <v>0.61749999999999994</v>
      </c>
      <c r="S14" s="76">
        <f t="shared" si="7"/>
        <v>24000</v>
      </c>
      <c r="T14" s="54">
        <f>IF(E14="","",IF(F14="Reuse",0,IF(F14="Reman",(S14*0.05),IF(F14="Recycle",((1-VLOOKUP(E14,List!$B$3:$C$62,2,FALSE))*S14),IF(AND(F14="Virgin",VLOOKUP(E14,List!$B$3:$E$62,4,FALSE)="Yes"),(S14-(G14*S14)),S14)))))</f>
        <v>15600</v>
      </c>
      <c r="U14" s="54">
        <f>IF(E14="","",(S14*(1-P14))+IF(Q14="Reuse",0,IF(Q14="Reman",(S14*P14*0.05),IF(Q14="Recycle",((1-(VLOOKUP(E14,List!$B$3:$D$62,3,FALSE)))*(S14*P14)),IF(AND(Q14="Compost",VLOOKUP(E14,List!$B$3:$E$62,4,FALSE)="Yes"),0,IF(AND(Q14="Energy Recovery",VLOOKUP(E14,List!$B$3:$F$62,5,FALSE)="Yes"),((S14*P14*(1-G14))+(S14*P14*G14*0.55)),(S14*P14)))))))</f>
        <v>4799.9999999999991</v>
      </c>
      <c r="V14" s="54">
        <f t="shared" si="8"/>
        <v>-1.3322676295501878E-12</v>
      </c>
      <c r="W14" s="172">
        <f t="shared" ref="W14:W41" si="18">IF(E14="","",IF(S14=0,"",((T14+U14)/(2*S14))))</f>
        <v>0.42499999999999999</v>
      </c>
      <c r="X14" s="163"/>
      <c r="Y14" s="79">
        <f t="shared" si="9"/>
        <v>0.57499999999999996</v>
      </c>
      <c r="AA14" s="68">
        <f t="shared" si="10"/>
        <v>0.17499999999999999</v>
      </c>
      <c r="AB14" s="64">
        <f t="shared" si="11"/>
        <v>0.4</v>
      </c>
      <c r="AC14" s="64">
        <f t="shared" si="12"/>
        <v>-5.5511151231257827E-17</v>
      </c>
      <c r="AD14" s="69">
        <f t="shared" si="13"/>
        <v>0.42500000000000004</v>
      </c>
      <c r="AF14" s="106"/>
      <c r="AG14" s="60">
        <f t="shared" si="14"/>
        <v>13799.999999999998</v>
      </c>
      <c r="AH14" s="61">
        <f t="shared" si="15"/>
        <v>-10200.000000000002</v>
      </c>
      <c r="AJ14" s="164">
        <f t="shared" si="0"/>
        <v>8400</v>
      </c>
      <c r="AK14" s="173">
        <f t="shared" si="1"/>
        <v>0.35</v>
      </c>
      <c r="AL14" s="174">
        <f t="shared" si="2"/>
        <v>19200</v>
      </c>
      <c r="AM14" s="175">
        <f t="shared" si="3"/>
        <v>0.8</v>
      </c>
      <c r="AN14" s="47">
        <f t="shared" si="16"/>
        <v>0.57499999999999996</v>
      </c>
      <c r="AO14" s="176">
        <f t="shared" si="4"/>
        <v>1</v>
      </c>
      <c r="AQ14" s="177">
        <f t="shared" si="17"/>
        <v>0.57499999999999996</v>
      </c>
    </row>
    <row r="15" spans="2:43" x14ac:dyDescent="0.4">
      <c r="B15" s="89" t="s">
        <v>132</v>
      </c>
      <c r="C15" s="90">
        <v>500</v>
      </c>
      <c r="D15" s="91">
        <v>15</v>
      </c>
      <c r="E15" s="92" t="s">
        <v>107</v>
      </c>
      <c r="F15" s="93" t="s">
        <v>20</v>
      </c>
      <c r="G15" s="94">
        <v>1</v>
      </c>
      <c r="H15" s="95"/>
      <c r="I15" s="82"/>
      <c r="J15" s="82"/>
      <c r="K15" s="82"/>
      <c r="L15" s="82"/>
      <c r="M15" s="82"/>
      <c r="N15" s="96"/>
      <c r="O15" s="170">
        <f t="shared" si="5"/>
        <v>1</v>
      </c>
      <c r="P15" s="95">
        <v>1</v>
      </c>
      <c r="Q15" s="94" t="s">
        <v>22</v>
      </c>
      <c r="R15" s="171">
        <f t="shared" si="6"/>
        <v>1</v>
      </c>
      <c r="S15" s="76">
        <f t="shared" si="7"/>
        <v>7500</v>
      </c>
      <c r="T15" s="54">
        <f>IF(E15="","",IF(F15="Reuse",0,IF(F15="Reman",(S15*0.05),IF(F15="Recycle",((1-VLOOKUP(E15,List!$B$3:$C$62,2,FALSE))*S15),IF(AND(F15="Virgin",VLOOKUP(E15,List!$B$3:$E$62,4,FALSE)="Yes"),(S15-(G15*S15)),S15)))))</f>
        <v>0</v>
      </c>
      <c r="U15" s="54">
        <f>IF(E15="","",(S15*(1-P15))+IF(Q15="Reuse",0,IF(Q15="Reman",(S15*P15*0.05),IF(Q15="Recycle",((1-(VLOOKUP(E15,List!$B$3:$D$62,3,FALSE)))*(S15*P15)),IF(AND(Q15="Compost",VLOOKUP(E15,List!$B$3:$E$62,4,FALSE)="Yes"),0,IF(AND(Q15="Energy Recovery",VLOOKUP(E15,List!$B$3:$F$62,5,FALSE)="Yes"),((S15*P15*(1-G15))+(S15*P15*G15*0.55)),(S15*P15)))))))</f>
        <v>0</v>
      </c>
      <c r="V15" s="54">
        <f t="shared" si="8"/>
        <v>0</v>
      </c>
      <c r="W15" s="172">
        <f t="shared" si="18"/>
        <v>0</v>
      </c>
      <c r="X15" s="163"/>
      <c r="Y15" s="79">
        <f t="shared" si="9"/>
        <v>1</v>
      </c>
      <c r="AA15" s="68">
        <f t="shared" si="10"/>
        <v>0.5</v>
      </c>
      <c r="AB15" s="64">
        <f t="shared" si="11"/>
        <v>0.5</v>
      </c>
      <c r="AC15" s="64">
        <f t="shared" si="12"/>
        <v>0</v>
      </c>
      <c r="AD15" s="69">
        <f t="shared" si="13"/>
        <v>0</v>
      </c>
      <c r="AF15" s="106"/>
      <c r="AG15" s="60">
        <f t="shared" si="14"/>
        <v>7500</v>
      </c>
      <c r="AH15" s="61">
        <f t="shared" si="15"/>
        <v>0</v>
      </c>
      <c r="AJ15" s="164">
        <f t="shared" si="0"/>
        <v>7500</v>
      </c>
      <c r="AK15" s="173">
        <f t="shared" si="1"/>
        <v>1</v>
      </c>
      <c r="AL15" s="174">
        <f t="shared" si="2"/>
        <v>7500</v>
      </c>
      <c r="AM15" s="175">
        <f t="shared" si="3"/>
        <v>1</v>
      </c>
      <c r="AN15" s="47">
        <f t="shared" si="16"/>
        <v>1</v>
      </c>
      <c r="AO15" s="176">
        <f t="shared" si="4"/>
        <v>1</v>
      </c>
      <c r="AQ15" s="177">
        <f t="shared" si="17"/>
        <v>1</v>
      </c>
    </row>
    <row r="16" spans="2:43" x14ac:dyDescent="0.4">
      <c r="B16" s="89" t="s">
        <v>133</v>
      </c>
      <c r="C16" s="90">
        <v>800</v>
      </c>
      <c r="D16" s="91">
        <v>10</v>
      </c>
      <c r="E16" s="92" t="s">
        <v>31</v>
      </c>
      <c r="F16" s="93" t="s">
        <v>20</v>
      </c>
      <c r="G16" s="94"/>
      <c r="H16" s="95"/>
      <c r="I16" s="82"/>
      <c r="J16" s="82"/>
      <c r="K16" s="82"/>
      <c r="L16" s="82"/>
      <c r="M16" s="82"/>
      <c r="N16" s="96"/>
      <c r="O16" s="170">
        <f t="shared" si="5"/>
        <v>1</v>
      </c>
      <c r="P16" s="95">
        <v>0.9</v>
      </c>
      <c r="Q16" s="94" t="s">
        <v>13</v>
      </c>
      <c r="R16" s="171">
        <f t="shared" si="6"/>
        <v>0.14050000000000007</v>
      </c>
      <c r="S16" s="76">
        <f t="shared" si="7"/>
        <v>8000</v>
      </c>
      <c r="T16" s="54">
        <f>IF(E16="","",IF(F16="Reuse",0,IF(F16="Reman",(S16*0.05),IF(F16="Recycle",((1-VLOOKUP(E16,List!$B$3:$C$62,2,FALSE))*S16),IF(AND(F16="Virgin",VLOOKUP(E16,List!$B$3:$E$62,4,FALSE)="Yes"),(S16-(G16*S16)),S16)))))</f>
        <v>8000</v>
      </c>
      <c r="U16" s="54">
        <f>IF(E16="","",(S16*(1-P16))+IF(Q16="Reuse",0,IF(Q16="Reman",(S16*P16*0.05),IF(Q16="Recycle",((1-(VLOOKUP(E16,List!$B$3:$D$62,3,FALSE)))*(S16*P16)),IF(AND(Q16="Compost",VLOOKUP(E16,List!$B$3:$E$62,4,FALSE)="Yes"),0,IF(AND(Q16="Energy Recovery",VLOOKUP(E16,List!$B$3:$F$62,5,FALSE)="Yes"),((S16*P16*(1-G16))+(S16*P16*G16*0.55)),(S16*P16)))))))</f>
        <v>7280</v>
      </c>
      <c r="V16" s="54">
        <f t="shared" si="8"/>
        <v>1.1102230246251565E-13</v>
      </c>
      <c r="W16" s="172">
        <f t="shared" si="18"/>
        <v>0.95499999999999996</v>
      </c>
      <c r="X16" s="163"/>
      <c r="Y16" s="79">
        <f t="shared" si="9"/>
        <v>4.4999999999999998E-2</v>
      </c>
      <c r="AA16" s="68">
        <f t="shared" si="10"/>
        <v>0</v>
      </c>
      <c r="AB16" s="64">
        <f t="shared" si="11"/>
        <v>4.4999999999999984E-2</v>
      </c>
      <c r="AC16" s="64">
        <f t="shared" si="12"/>
        <v>1.3877787807814457E-17</v>
      </c>
      <c r="AD16" s="69">
        <f t="shared" si="13"/>
        <v>0.95499999999999996</v>
      </c>
      <c r="AE16" s="48"/>
      <c r="AF16" s="107"/>
      <c r="AG16" s="60">
        <f t="shared" si="14"/>
        <v>360</v>
      </c>
      <c r="AH16" s="61">
        <f t="shared" si="15"/>
        <v>-7640</v>
      </c>
      <c r="AJ16" s="164">
        <f t="shared" si="0"/>
        <v>0</v>
      </c>
      <c r="AK16" s="173">
        <f t="shared" si="1"/>
        <v>0</v>
      </c>
      <c r="AL16" s="174">
        <f t="shared" si="2"/>
        <v>719.99999999999977</v>
      </c>
      <c r="AM16" s="175">
        <f t="shared" si="3"/>
        <v>8.9999999999999969E-2</v>
      </c>
      <c r="AN16" s="47">
        <f t="shared" si="16"/>
        <v>4.4999999999999984E-2</v>
      </c>
      <c r="AO16" s="176">
        <f t="shared" si="4"/>
        <v>1</v>
      </c>
      <c r="AQ16" s="177">
        <f t="shared" si="17"/>
        <v>4.4999999999999929E-2</v>
      </c>
    </row>
    <row r="17" spans="2:43" x14ac:dyDescent="0.4">
      <c r="B17" s="89" t="s">
        <v>134</v>
      </c>
      <c r="C17" s="90">
        <v>30</v>
      </c>
      <c r="D17" s="91">
        <v>200</v>
      </c>
      <c r="E17" s="92" t="s">
        <v>115</v>
      </c>
      <c r="F17" s="93" t="s">
        <v>20</v>
      </c>
      <c r="G17" s="94"/>
      <c r="H17" s="95"/>
      <c r="I17" s="82"/>
      <c r="J17" s="82"/>
      <c r="K17" s="82"/>
      <c r="L17" s="82"/>
      <c r="M17" s="82"/>
      <c r="N17" s="96"/>
      <c r="O17" s="170">
        <f t="shared" si="5"/>
        <v>1</v>
      </c>
      <c r="P17" s="95">
        <v>1</v>
      </c>
      <c r="Q17" s="94" t="s">
        <v>13</v>
      </c>
      <c r="R17" s="171">
        <f t="shared" si="6"/>
        <v>0.32499999999999996</v>
      </c>
      <c r="S17" s="76">
        <f t="shared" si="7"/>
        <v>6000</v>
      </c>
      <c r="T17" s="54">
        <f>IF(E17="","",IF(F17="Reuse",0,IF(F17="Reman",(S17*0.05),IF(F17="Recycle",((1-VLOOKUP(E17,List!$B$3:$C$62,2,FALSE))*S17),IF(AND(F17="Virgin",VLOOKUP(E17,List!$B$3:$E$62,4,FALSE)="Yes"),(S17-(G17*S17)),S17)))))</f>
        <v>6000</v>
      </c>
      <c r="U17" s="54">
        <f>IF(E17="","",(S17*(1-P17))+IF(Q17="Reuse",0,IF(Q17="Reman",(S17*P17*0.05),IF(Q17="Recycle",((1-(VLOOKUP(E17,List!$B$3:$D$62,3,FALSE)))*(S17*P17)),IF(AND(Q17="Compost",VLOOKUP(E17,List!$B$3:$E$62,4,FALSE)="Yes"),0,IF(AND(Q17="Energy Recovery",VLOOKUP(E17,List!$B$3:$F$62,5,FALSE)="Yes"),((S17*P17*(1-G17))+(S17*P17*G17*0.55)),(S17*P17)))))))</f>
        <v>3000</v>
      </c>
      <c r="V17" s="54">
        <f t="shared" si="8"/>
        <v>0</v>
      </c>
      <c r="W17" s="172">
        <f t="shared" si="18"/>
        <v>0.75</v>
      </c>
      <c r="X17" s="163"/>
      <c r="Y17" s="79">
        <f t="shared" si="9"/>
        <v>0.25</v>
      </c>
      <c r="AA17" s="68">
        <f t="shared" si="10"/>
        <v>0</v>
      </c>
      <c r="AB17" s="64">
        <f t="shared" si="11"/>
        <v>0.25</v>
      </c>
      <c r="AC17" s="64">
        <f t="shared" si="12"/>
        <v>0</v>
      </c>
      <c r="AD17" s="69">
        <f t="shared" si="13"/>
        <v>0.75</v>
      </c>
      <c r="AF17" s="108"/>
      <c r="AG17" s="60">
        <f t="shared" si="14"/>
        <v>1500</v>
      </c>
      <c r="AH17" s="61">
        <f t="shared" si="15"/>
        <v>-4500</v>
      </c>
      <c r="AJ17" s="164">
        <f t="shared" si="0"/>
        <v>0</v>
      </c>
      <c r="AK17" s="173">
        <f t="shared" si="1"/>
        <v>0</v>
      </c>
      <c r="AL17" s="174">
        <f t="shared" si="2"/>
        <v>3000</v>
      </c>
      <c r="AM17" s="175">
        <f t="shared" si="3"/>
        <v>0.5</v>
      </c>
      <c r="AN17" s="47">
        <f t="shared" si="16"/>
        <v>0.25</v>
      </c>
      <c r="AO17" s="176">
        <f t="shared" si="4"/>
        <v>1</v>
      </c>
      <c r="AQ17" s="177">
        <f t="shared" si="17"/>
        <v>0.25</v>
      </c>
    </row>
    <row r="18" spans="2:43" x14ac:dyDescent="0.4">
      <c r="B18" s="89" t="s">
        <v>135</v>
      </c>
      <c r="C18" s="90">
        <v>25</v>
      </c>
      <c r="D18" s="91">
        <v>200</v>
      </c>
      <c r="E18" s="92" t="s">
        <v>108</v>
      </c>
      <c r="F18" s="93" t="s">
        <v>20</v>
      </c>
      <c r="G18" s="94">
        <v>1</v>
      </c>
      <c r="H18" s="95"/>
      <c r="I18" s="82"/>
      <c r="J18" s="82"/>
      <c r="K18" s="82"/>
      <c r="L18" s="82"/>
      <c r="M18" s="82"/>
      <c r="N18" s="96"/>
      <c r="O18" s="170">
        <f t="shared" si="5"/>
        <v>1</v>
      </c>
      <c r="P18" s="95">
        <v>1</v>
      </c>
      <c r="Q18" s="94" t="s">
        <v>23</v>
      </c>
      <c r="R18" s="171">
        <f t="shared" si="6"/>
        <v>0.75249999999999995</v>
      </c>
      <c r="S18" s="76">
        <f t="shared" si="7"/>
        <v>5000</v>
      </c>
      <c r="T18" s="54">
        <f>IF(E18="","",IF(F18="Reuse",0,IF(F18="Reman",(S18*0.05),IF(F18="Recycle",((1-VLOOKUP(E18,List!$B$3:$C$62,2,FALSE))*S18),IF(AND(F18="Virgin",VLOOKUP(E18,List!$B$3:$E$62,4,FALSE)="Yes"),(S18-(G18*S18)),S18)))))</f>
        <v>0</v>
      </c>
      <c r="U18" s="54">
        <f>IF(E18="","",(S18*(1-P18))+IF(Q18="Reuse",0,IF(Q18="Reman",(S18*P18*0.05),IF(Q18="Recycle",((1-(VLOOKUP(E18,List!$B$3:$D$62,3,FALSE)))*(S18*P18)),IF(AND(Q18="Compost",VLOOKUP(E18,List!$B$3:$E$62,4,FALSE)="Yes"),0,IF(AND(Q18="Energy Recovery",VLOOKUP(E18,List!$B$3:$F$62,5,FALSE)="Yes"),((S18*P18*(1-G18))+(S18*P18*G18*0.55)),(S18*P18)))))))</f>
        <v>2750</v>
      </c>
      <c r="V18" s="54">
        <f t="shared" si="8"/>
        <v>0</v>
      </c>
      <c r="W18" s="172">
        <f t="shared" si="18"/>
        <v>0.27500000000000002</v>
      </c>
      <c r="X18" s="163"/>
      <c r="Y18" s="79">
        <f t="shared" si="9"/>
        <v>0.72499999999999998</v>
      </c>
      <c r="AA18" s="68">
        <f t="shared" si="10"/>
        <v>0.5</v>
      </c>
      <c r="AB18" s="64">
        <f t="shared" si="11"/>
        <v>0.22499999999999998</v>
      </c>
      <c r="AC18" s="64">
        <f t="shared" si="12"/>
        <v>0</v>
      </c>
      <c r="AD18" s="69">
        <f t="shared" si="13"/>
        <v>0.27500000000000002</v>
      </c>
      <c r="AF18" s="108"/>
      <c r="AG18" s="60">
        <f t="shared" si="14"/>
        <v>3625</v>
      </c>
      <c r="AH18" s="61">
        <f t="shared" si="15"/>
        <v>-1375</v>
      </c>
      <c r="AJ18" s="164">
        <f t="shared" si="0"/>
        <v>5000</v>
      </c>
      <c r="AK18" s="173">
        <f t="shared" si="1"/>
        <v>1</v>
      </c>
      <c r="AL18" s="174">
        <f t="shared" si="2"/>
        <v>2250</v>
      </c>
      <c r="AM18" s="175">
        <f t="shared" si="3"/>
        <v>0.45</v>
      </c>
      <c r="AN18" s="47">
        <f t="shared" si="16"/>
        <v>0.72499999999999998</v>
      </c>
      <c r="AO18" s="176">
        <f t="shared" si="4"/>
        <v>1</v>
      </c>
      <c r="AQ18" s="177">
        <f t="shared" si="17"/>
        <v>0.72499999999999998</v>
      </c>
    </row>
    <row r="19" spans="2:43" x14ac:dyDescent="0.4">
      <c r="B19" s="89" t="s">
        <v>136</v>
      </c>
      <c r="C19" s="90">
        <v>2</v>
      </c>
      <c r="D19" s="91">
        <v>500</v>
      </c>
      <c r="E19" s="92" t="s">
        <v>31</v>
      </c>
      <c r="F19" s="93" t="s">
        <v>20</v>
      </c>
      <c r="G19" s="94"/>
      <c r="H19" s="95"/>
      <c r="I19" s="82"/>
      <c r="J19" s="82"/>
      <c r="K19" s="82"/>
      <c r="L19" s="82"/>
      <c r="M19" s="82"/>
      <c r="N19" s="96"/>
      <c r="O19" s="170">
        <f t="shared" si="5"/>
        <v>1</v>
      </c>
      <c r="P19" s="95">
        <v>1</v>
      </c>
      <c r="Q19" s="94" t="s">
        <v>13</v>
      </c>
      <c r="R19" s="171">
        <f t="shared" si="6"/>
        <v>0.14500000000000002</v>
      </c>
      <c r="S19" s="76">
        <f t="shared" si="7"/>
        <v>1000</v>
      </c>
      <c r="T19" s="54">
        <f>IF(E19="","",IF(F19="Reuse",0,IF(F19="Reman",(S19*0.05),IF(F19="Recycle",((1-VLOOKUP(E19,List!$B$3:$C$62,2,FALSE))*S19),IF(AND(F19="Virgin",VLOOKUP(E19,List!$B$3:$E$62,4,FALSE)="Yes"),(S19-(G19*S19)),S19)))))</f>
        <v>1000</v>
      </c>
      <c r="U19" s="54">
        <f>IF(E19="","",(S19*(1-P19))+IF(Q19="Reuse",0,IF(Q19="Reman",(S19*P19*0.05),IF(Q19="Recycle",((1-(VLOOKUP(E19,List!$B$3:$D$62,3,FALSE)))*(S19*P19)),IF(AND(Q19="Compost",VLOOKUP(E19,List!$B$3:$E$62,4,FALSE)="Yes"),0,IF(AND(Q19="Energy Recovery",VLOOKUP(E19,List!$B$3:$F$62,5,FALSE)="Yes"),((S19*P19*(1-G19))+(S19*P19*G19*0.55)),(S19*P19)))))))</f>
        <v>900</v>
      </c>
      <c r="V19" s="54">
        <f t="shared" si="8"/>
        <v>1.3877787807814457E-14</v>
      </c>
      <c r="W19" s="172">
        <f t="shared" si="18"/>
        <v>0.95</v>
      </c>
      <c r="X19" s="163"/>
      <c r="Y19" s="79">
        <f t="shared" si="9"/>
        <v>0.05</v>
      </c>
      <c r="AA19" s="68">
        <f t="shared" si="10"/>
        <v>0</v>
      </c>
      <c r="AB19" s="64">
        <f t="shared" si="11"/>
        <v>4.9999999999999989E-2</v>
      </c>
      <c r="AC19" s="64">
        <f t="shared" si="12"/>
        <v>1.3877787807814457E-17</v>
      </c>
      <c r="AD19" s="69">
        <f t="shared" si="13"/>
        <v>0.95</v>
      </c>
      <c r="AF19" s="108"/>
      <c r="AG19" s="60">
        <f t="shared" si="14"/>
        <v>50</v>
      </c>
      <c r="AH19" s="61">
        <f t="shared" si="15"/>
        <v>-950</v>
      </c>
      <c r="AJ19" s="164">
        <f t="shared" si="0"/>
        <v>0</v>
      </c>
      <c r="AK19" s="173">
        <f t="shared" si="1"/>
        <v>0</v>
      </c>
      <c r="AL19" s="174">
        <f t="shared" si="2"/>
        <v>99.999999999999972</v>
      </c>
      <c r="AM19" s="175">
        <f t="shared" si="3"/>
        <v>9.9999999999999978E-2</v>
      </c>
      <c r="AN19" s="47">
        <f t="shared" si="16"/>
        <v>4.9999999999999989E-2</v>
      </c>
      <c r="AO19" s="176">
        <f t="shared" si="4"/>
        <v>1</v>
      </c>
      <c r="AQ19" s="177">
        <f t="shared" si="17"/>
        <v>5.0000000000000044E-2</v>
      </c>
    </row>
    <row r="20" spans="2:43" x14ac:dyDescent="0.4">
      <c r="B20" s="89"/>
      <c r="C20" s="90"/>
      <c r="D20" s="91"/>
      <c r="E20" s="92"/>
      <c r="F20" s="93"/>
      <c r="G20" s="94"/>
      <c r="H20" s="95"/>
      <c r="I20" s="82"/>
      <c r="J20" s="82"/>
      <c r="K20" s="82"/>
      <c r="L20" s="82"/>
      <c r="M20" s="82"/>
      <c r="N20" s="96"/>
      <c r="O20" s="170" t="str">
        <f t="shared" si="5"/>
        <v/>
      </c>
      <c r="P20" s="95"/>
      <c r="Q20" s="94"/>
      <c r="R20" s="171" t="str">
        <f t="shared" si="6"/>
        <v/>
      </c>
      <c r="S20" s="76" t="str">
        <f t="shared" si="7"/>
        <v/>
      </c>
      <c r="T20" s="54" t="str">
        <f>IF(E20="","",IF(F20="Reuse",0,IF(F20="Reman",(S20*0.05),IF(F20="Recycle",((1-VLOOKUP(E20,List!$B$3:$C$62,2,FALSE))*S20),IF(AND(F20="Virgin",VLOOKUP(E20,List!$B$3:$E$62,4,FALSE)="Yes"),(S20-(G20*S20)),S20)))))</f>
        <v/>
      </c>
      <c r="U20" s="54" t="str">
        <f>IF(E20="","",(S20*(1-P20))+IF(Q20="Reuse",0,IF(Q20="Reman",(S20*P20*0.05),IF(Q20="Recycle",((1-(VLOOKUP(E20,List!$B$3:$D$62,3,FALSE)))*(S20*P20)),IF(AND(Q20="Compost",VLOOKUP(E20,List!$B$3:$E$62,4,FALSE)="Yes"),0,IF(AND(Q20="Energy Recovery",VLOOKUP(E20,List!$B$3:$F$62,5,FALSE)="Yes"),((S20*P20*(1-G20))+(S20*P20*G20*0.55)),(S20*P20)))))))</f>
        <v/>
      </c>
      <c r="V20" s="54" t="str">
        <f t="shared" si="8"/>
        <v/>
      </c>
      <c r="W20" s="172" t="str">
        <f t="shared" si="18"/>
        <v/>
      </c>
      <c r="X20" s="163"/>
      <c r="Y20" s="79" t="str">
        <f t="shared" si="9"/>
        <v/>
      </c>
      <c r="AA20" s="68" t="str">
        <f t="shared" si="10"/>
        <v/>
      </c>
      <c r="AB20" s="64" t="str">
        <f t="shared" si="11"/>
        <v/>
      </c>
      <c r="AC20" s="64" t="str">
        <f t="shared" si="12"/>
        <v/>
      </c>
      <c r="AD20" s="69" t="str">
        <f t="shared" si="13"/>
        <v/>
      </c>
      <c r="AF20" s="108"/>
      <c r="AG20" s="60" t="str">
        <f t="shared" si="14"/>
        <v/>
      </c>
      <c r="AH20" s="61" t="str">
        <f t="shared" si="15"/>
        <v/>
      </c>
      <c r="AJ20" s="164" t="str">
        <f t="shared" si="0"/>
        <v/>
      </c>
      <c r="AK20" s="173" t="str">
        <f t="shared" si="1"/>
        <v/>
      </c>
      <c r="AL20" s="174" t="str">
        <f t="shared" si="2"/>
        <v/>
      </c>
      <c r="AM20" s="175" t="str">
        <f t="shared" si="3"/>
        <v/>
      </c>
      <c r="AN20" s="47" t="str">
        <f t="shared" si="16"/>
        <v/>
      </c>
      <c r="AO20" s="176" t="str">
        <f t="shared" si="4"/>
        <v/>
      </c>
      <c r="AQ20" s="177" t="str">
        <f t="shared" si="17"/>
        <v/>
      </c>
    </row>
    <row r="21" spans="2:43" x14ac:dyDescent="0.4">
      <c r="B21" s="89"/>
      <c r="C21" s="90"/>
      <c r="D21" s="91"/>
      <c r="E21" s="92"/>
      <c r="F21" s="93"/>
      <c r="G21" s="94"/>
      <c r="H21" s="95"/>
      <c r="I21" s="82"/>
      <c r="J21" s="82"/>
      <c r="K21" s="82"/>
      <c r="L21" s="82"/>
      <c r="M21" s="82"/>
      <c r="N21" s="96"/>
      <c r="O21" s="170" t="str">
        <f t="shared" si="5"/>
        <v/>
      </c>
      <c r="P21" s="95"/>
      <c r="Q21" s="94"/>
      <c r="R21" s="171" t="str">
        <f t="shared" si="6"/>
        <v/>
      </c>
      <c r="S21" s="76" t="str">
        <f t="shared" si="7"/>
        <v/>
      </c>
      <c r="T21" s="54" t="str">
        <f>IF(E21="","",IF(F21="Reuse",0,IF(F21="Reman",(S21*0.05),IF(F21="Recycle",((1-VLOOKUP(E21,List!$B$3:$C$62,2,FALSE))*S21),IF(AND(F21="Virgin",VLOOKUP(E21,List!$B$3:$E$62,4,FALSE)="Yes"),(S21-(G21*S21)),S21)))))</f>
        <v/>
      </c>
      <c r="U21" s="54" t="str">
        <f>IF(E21="","",(S21*(1-P21))+IF(Q21="Reuse",0,IF(Q21="Reman",(S21*P21*0.05),IF(Q21="Recycle",((1-(VLOOKUP(E21,List!$B$3:$D$62,3,FALSE)))*(S21*P21)),IF(AND(Q21="Compost",VLOOKUP(E21,List!$B$3:$E$62,4,FALSE)="Yes"),0,IF(AND(Q21="Energy Recovery",VLOOKUP(E21,List!$B$3:$F$62,5,FALSE)="Yes"),((S21*P21*(1-G21))+(S21*P21*G21*0.55)),(S21*P21)))))))</f>
        <v/>
      </c>
      <c r="V21" s="54" t="str">
        <f t="shared" si="8"/>
        <v/>
      </c>
      <c r="W21" s="172" t="str">
        <f t="shared" si="18"/>
        <v/>
      </c>
      <c r="X21" s="163"/>
      <c r="Y21" s="79" t="str">
        <f t="shared" si="9"/>
        <v/>
      </c>
      <c r="AA21" s="68" t="str">
        <f t="shared" si="10"/>
        <v/>
      </c>
      <c r="AB21" s="64" t="str">
        <f t="shared" si="11"/>
        <v/>
      </c>
      <c r="AC21" s="64" t="str">
        <f t="shared" si="12"/>
        <v/>
      </c>
      <c r="AD21" s="69" t="str">
        <f t="shared" si="13"/>
        <v/>
      </c>
      <c r="AF21" s="108"/>
      <c r="AG21" s="60" t="str">
        <f t="shared" si="14"/>
        <v/>
      </c>
      <c r="AH21" s="61" t="str">
        <f t="shared" si="15"/>
        <v/>
      </c>
      <c r="AJ21" s="164" t="str">
        <f t="shared" si="0"/>
        <v/>
      </c>
      <c r="AK21" s="173" t="str">
        <f t="shared" si="1"/>
        <v/>
      </c>
      <c r="AL21" s="174" t="str">
        <f t="shared" si="2"/>
        <v/>
      </c>
      <c r="AM21" s="175" t="str">
        <f t="shared" si="3"/>
        <v/>
      </c>
      <c r="AN21" s="47" t="str">
        <f t="shared" si="16"/>
        <v/>
      </c>
      <c r="AO21" s="176" t="str">
        <f t="shared" si="4"/>
        <v/>
      </c>
      <c r="AQ21" s="177" t="str">
        <f t="shared" si="17"/>
        <v/>
      </c>
    </row>
    <row r="22" spans="2:43" x14ac:dyDescent="0.4">
      <c r="B22" s="89"/>
      <c r="C22" s="90"/>
      <c r="D22" s="91"/>
      <c r="E22" s="92"/>
      <c r="F22" s="93"/>
      <c r="G22" s="94"/>
      <c r="H22" s="95"/>
      <c r="I22" s="82"/>
      <c r="J22" s="82"/>
      <c r="K22" s="82"/>
      <c r="L22" s="82"/>
      <c r="M22" s="82"/>
      <c r="N22" s="96"/>
      <c r="O22" s="170" t="str">
        <f t="shared" si="5"/>
        <v/>
      </c>
      <c r="P22" s="95"/>
      <c r="Q22" s="94"/>
      <c r="R22" s="171" t="str">
        <f t="shared" si="6"/>
        <v/>
      </c>
      <c r="S22" s="76" t="str">
        <f t="shared" si="7"/>
        <v/>
      </c>
      <c r="T22" s="54" t="str">
        <f>IF(E22="","",IF(F22="Reuse",0,IF(F22="Reman",(S22*0.05),IF(F22="Recycle",((1-VLOOKUP(E22,List!$B$3:$C$62,2,FALSE))*S22),IF(AND(F22="Virgin",VLOOKUP(E22,List!$B$3:$E$62,4,FALSE)="Yes"),(S22-(G22*S22)),S22)))))</f>
        <v/>
      </c>
      <c r="U22" s="54" t="str">
        <f>IF(E22="","",(S22*(1-P22))+IF(Q22="Reuse",0,IF(Q22="Reman",(S22*P22*0.05),IF(Q22="Recycle",((1-(VLOOKUP(E22,List!$B$3:$D$62,3,FALSE)))*(S22*P22)),IF(AND(Q22="Compost",VLOOKUP(E22,List!$B$3:$E$62,4,FALSE)="Yes"),0,IF(AND(Q22="Energy Recovery",VLOOKUP(E22,List!$B$3:$F$62,5,FALSE)="Yes"),((S22*P22*(1-G22))+(S22*P22*G22*0.55)),(S22*P22)))))))</f>
        <v/>
      </c>
      <c r="V22" s="54" t="str">
        <f t="shared" si="8"/>
        <v/>
      </c>
      <c r="W22" s="172" t="str">
        <f t="shared" si="18"/>
        <v/>
      </c>
      <c r="X22" s="163"/>
      <c r="Y22" s="79" t="str">
        <f t="shared" si="9"/>
        <v/>
      </c>
      <c r="AA22" s="68" t="str">
        <f t="shared" si="10"/>
        <v/>
      </c>
      <c r="AB22" s="64" t="str">
        <f t="shared" si="11"/>
        <v/>
      </c>
      <c r="AC22" s="64" t="str">
        <f t="shared" si="12"/>
        <v/>
      </c>
      <c r="AD22" s="69" t="str">
        <f t="shared" si="13"/>
        <v/>
      </c>
      <c r="AF22" s="108"/>
      <c r="AG22" s="60" t="str">
        <f t="shared" si="14"/>
        <v/>
      </c>
      <c r="AH22" s="61" t="str">
        <f t="shared" si="15"/>
        <v/>
      </c>
      <c r="AJ22" s="164" t="str">
        <f t="shared" si="0"/>
        <v/>
      </c>
      <c r="AK22" s="173" t="str">
        <f t="shared" si="1"/>
        <v/>
      </c>
      <c r="AL22" s="174" t="str">
        <f t="shared" si="2"/>
        <v/>
      </c>
      <c r="AM22" s="175" t="str">
        <f t="shared" si="3"/>
        <v/>
      </c>
      <c r="AN22" s="47" t="str">
        <f t="shared" si="16"/>
        <v/>
      </c>
      <c r="AO22" s="176" t="str">
        <f t="shared" si="4"/>
        <v/>
      </c>
      <c r="AQ22" s="177" t="str">
        <f t="shared" si="17"/>
        <v/>
      </c>
    </row>
    <row r="23" spans="2:43" x14ac:dyDescent="0.4">
      <c r="B23" s="89"/>
      <c r="C23" s="90"/>
      <c r="D23" s="91"/>
      <c r="E23" s="92"/>
      <c r="F23" s="93"/>
      <c r="G23" s="94"/>
      <c r="H23" s="95"/>
      <c r="I23" s="82"/>
      <c r="J23" s="82"/>
      <c r="K23" s="82"/>
      <c r="L23" s="82"/>
      <c r="M23" s="82"/>
      <c r="N23" s="96"/>
      <c r="O23" s="170" t="str">
        <f t="shared" si="5"/>
        <v/>
      </c>
      <c r="P23" s="95"/>
      <c r="Q23" s="94"/>
      <c r="R23" s="171" t="str">
        <f t="shared" si="6"/>
        <v/>
      </c>
      <c r="S23" s="76" t="str">
        <f t="shared" si="7"/>
        <v/>
      </c>
      <c r="T23" s="54" t="str">
        <f>IF(E23="","",IF(F23="Reuse",0,IF(F23="Reman",(S23*0.05),IF(F23="Recycle",((1-VLOOKUP(E23,List!$B$3:$C$62,2,FALSE))*S23),IF(AND(F23="Virgin",VLOOKUP(E23,List!$B$3:$E$62,4,FALSE)="Yes"),(S23-(G23*S23)),S23)))))</f>
        <v/>
      </c>
      <c r="U23" s="54" t="str">
        <f>IF(E23="","",(S23*(1-P23))+IF(Q23="Reuse",0,IF(Q23="Reman",(S23*P23*0.05),IF(Q23="Recycle",((1-(VLOOKUP(E23,List!$B$3:$D$62,3,FALSE)))*(S23*P23)),IF(AND(Q23="Compost",VLOOKUP(E23,List!$B$3:$E$62,4,FALSE)="Yes"),0,IF(AND(Q23="Energy Recovery",VLOOKUP(E23,List!$B$3:$F$62,5,FALSE)="Yes"),((S23*P23*(1-G23))+(S23*P23*G23*0.55)),(S23*P23)))))))</f>
        <v/>
      </c>
      <c r="V23" s="54" t="str">
        <f t="shared" si="8"/>
        <v/>
      </c>
      <c r="W23" s="172" t="str">
        <f t="shared" si="18"/>
        <v/>
      </c>
      <c r="X23" s="163"/>
      <c r="Y23" s="79" t="str">
        <f t="shared" si="9"/>
        <v/>
      </c>
      <c r="AA23" s="68" t="str">
        <f t="shared" si="10"/>
        <v/>
      </c>
      <c r="AB23" s="64" t="str">
        <f t="shared" si="11"/>
        <v/>
      </c>
      <c r="AC23" s="64" t="str">
        <f t="shared" si="12"/>
        <v/>
      </c>
      <c r="AD23" s="69" t="str">
        <f t="shared" si="13"/>
        <v/>
      </c>
      <c r="AF23" s="108"/>
      <c r="AG23" s="60" t="str">
        <f t="shared" si="14"/>
        <v/>
      </c>
      <c r="AH23" s="61" t="str">
        <f t="shared" si="15"/>
        <v/>
      </c>
      <c r="AJ23" s="164" t="str">
        <f t="shared" si="0"/>
        <v/>
      </c>
      <c r="AK23" s="173" t="str">
        <f t="shared" si="1"/>
        <v/>
      </c>
      <c r="AL23" s="174" t="str">
        <f t="shared" si="2"/>
        <v/>
      </c>
      <c r="AM23" s="175" t="str">
        <f t="shared" si="3"/>
        <v/>
      </c>
      <c r="AN23" s="47" t="str">
        <f t="shared" si="16"/>
        <v/>
      </c>
      <c r="AO23" s="176" t="str">
        <f t="shared" si="4"/>
        <v/>
      </c>
      <c r="AQ23" s="177" t="str">
        <f t="shared" si="17"/>
        <v/>
      </c>
    </row>
    <row r="24" spans="2:43" x14ac:dyDescent="0.4">
      <c r="B24" s="89"/>
      <c r="C24" s="90"/>
      <c r="D24" s="91"/>
      <c r="E24" s="92"/>
      <c r="F24" s="93"/>
      <c r="G24" s="94"/>
      <c r="H24" s="95"/>
      <c r="I24" s="82"/>
      <c r="J24" s="82"/>
      <c r="K24" s="82"/>
      <c r="L24" s="82"/>
      <c r="M24" s="82"/>
      <c r="N24" s="96"/>
      <c r="O24" s="170" t="str">
        <f t="shared" si="5"/>
        <v/>
      </c>
      <c r="P24" s="95"/>
      <c r="Q24" s="94"/>
      <c r="R24" s="171" t="str">
        <f t="shared" ref="R24:R30" si="19">IF(E24="","",IF(W24="","",IF((1-W24*(0.9/$O24))&lt;0,0,(1-W24*(0.9/$O24)))))</f>
        <v/>
      </c>
      <c r="S24" s="76" t="str">
        <f t="shared" si="7"/>
        <v/>
      </c>
      <c r="T24" s="54" t="str">
        <f>IF(E24="","",IF(F24="Reuse",0,IF(F24="Reman",(S24*0.05),IF(F24="Recycle",((1-VLOOKUP(E24,List!$B$3:$C$62,2,FALSE))*S24),IF(AND(F24="Virgin",VLOOKUP(E24,List!$B$3:$E$62,4,FALSE)="Yes"),(S24-(G24*S24)),S24)))))</f>
        <v/>
      </c>
      <c r="U24" s="54" t="str">
        <f>IF(E24="","",(S24*(1-P24))+IF(Q24="Reuse",0,IF(Q24="Reman",(S24*P24*0.05),IF(Q24="Recycle",((1-(VLOOKUP(E24,List!$B$3:$D$62,3,FALSE)))*(S24*P24)),IF(AND(Q24="Compost",VLOOKUP(E24,List!$B$3:$E$62,4,FALSE)="Yes"),0,IF(AND(Q24="Energy Recovery",VLOOKUP(E24,List!$B$3:$F$62,5,FALSE)="Yes"),((S24*P24*(1-G24))+(S24*P24*G24*0.55)),(S24*P24)))))))</f>
        <v/>
      </c>
      <c r="V24" s="54" t="str">
        <f t="shared" si="8"/>
        <v/>
      </c>
      <c r="W24" s="172" t="str">
        <f t="shared" ref="W24:W30" si="20">IF(E24="","",IF(S24=0,"",((T24+U24)/(2*S24))))</f>
        <v/>
      </c>
      <c r="X24" s="163"/>
      <c r="Y24" s="79" t="str">
        <f t="shared" si="9"/>
        <v/>
      </c>
      <c r="AA24" s="68" t="str">
        <f t="shared" si="10"/>
        <v/>
      </c>
      <c r="AB24" s="64" t="str">
        <f t="shared" si="11"/>
        <v/>
      </c>
      <c r="AC24" s="64" t="str">
        <f t="shared" si="12"/>
        <v/>
      </c>
      <c r="AD24" s="69" t="str">
        <f t="shared" si="13"/>
        <v/>
      </c>
      <c r="AF24" s="108"/>
      <c r="AG24" s="60" t="str">
        <f t="shared" si="14"/>
        <v/>
      </c>
      <c r="AH24" s="61" t="str">
        <f t="shared" si="15"/>
        <v/>
      </c>
      <c r="AJ24" s="164" t="str">
        <f t="shared" si="0"/>
        <v/>
      </c>
      <c r="AK24" s="173" t="str">
        <f t="shared" si="1"/>
        <v/>
      </c>
      <c r="AL24" s="174" t="str">
        <f t="shared" si="2"/>
        <v/>
      </c>
      <c r="AM24" s="175" t="str">
        <f t="shared" si="3"/>
        <v/>
      </c>
      <c r="AN24" s="47" t="str">
        <f t="shared" si="16"/>
        <v/>
      </c>
      <c r="AO24" s="176" t="str">
        <f t="shared" si="4"/>
        <v/>
      </c>
      <c r="AQ24" s="177" t="str">
        <f t="shared" si="17"/>
        <v/>
      </c>
    </row>
    <row r="25" spans="2:43" x14ac:dyDescent="0.4">
      <c r="B25" s="89"/>
      <c r="C25" s="90"/>
      <c r="D25" s="91"/>
      <c r="E25" s="92"/>
      <c r="F25" s="93"/>
      <c r="G25" s="94"/>
      <c r="H25" s="95"/>
      <c r="I25" s="82"/>
      <c r="J25" s="82"/>
      <c r="K25" s="82"/>
      <c r="L25" s="82"/>
      <c r="M25" s="82"/>
      <c r="N25" s="96"/>
      <c r="O25" s="170" t="str">
        <f t="shared" si="5"/>
        <v/>
      </c>
      <c r="P25" s="95"/>
      <c r="Q25" s="94"/>
      <c r="R25" s="171" t="str">
        <f t="shared" si="19"/>
        <v/>
      </c>
      <c r="S25" s="76" t="str">
        <f t="shared" si="7"/>
        <v/>
      </c>
      <c r="T25" s="54" t="str">
        <f>IF(E25="","",IF(F25="Reuse",0,IF(F25="Reman",(S25*0.05),IF(F25="Recycle",((1-VLOOKUP(E25,List!$B$3:$C$62,2,FALSE))*S25),IF(AND(F25="Virgin",VLOOKUP(E25,List!$B$3:$E$62,4,FALSE)="Yes"),(S25-(G25*S25)),S25)))))</f>
        <v/>
      </c>
      <c r="U25" s="54" t="str">
        <f>IF(E25="","",(S25*(1-P25))+IF(Q25="Reuse",0,IF(Q25="Reman",(S25*P25*0.05),IF(Q25="Recycle",((1-(VLOOKUP(E25,List!$B$3:$D$62,3,FALSE)))*(S25*P25)),IF(AND(Q25="Compost",VLOOKUP(E25,List!$B$3:$E$62,4,FALSE)="Yes"),0,IF(AND(Q25="Energy Recovery",VLOOKUP(E25,List!$B$3:$F$62,5,FALSE)="Yes"),((S25*P25*(1-G25))+(S25*P25*G25*0.55)),(S25*P25)))))))</f>
        <v/>
      </c>
      <c r="V25" s="54" t="str">
        <f t="shared" si="8"/>
        <v/>
      </c>
      <c r="W25" s="172" t="str">
        <f t="shared" si="20"/>
        <v/>
      </c>
      <c r="X25" s="163"/>
      <c r="Y25" s="79" t="str">
        <f t="shared" si="9"/>
        <v/>
      </c>
      <c r="AA25" s="68" t="str">
        <f t="shared" si="10"/>
        <v/>
      </c>
      <c r="AB25" s="64" t="str">
        <f t="shared" si="11"/>
        <v/>
      </c>
      <c r="AC25" s="64" t="str">
        <f t="shared" si="12"/>
        <v/>
      </c>
      <c r="AD25" s="69" t="str">
        <f t="shared" si="13"/>
        <v/>
      </c>
      <c r="AF25" s="108"/>
      <c r="AG25" s="60" t="str">
        <f t="shared" si="14"/>
        <v/>
      </c>
      <c r="AH25" s="61" t="str">
        <f t="shared" si="15"/>
        <v/>
      </c>
      <c r="AJ25" s="164" t="str">
        <f t="shared" si="0"/>
        <v/>
      </c>
      <c r="AK25" s="173" t="str">
        <f t="shared" si="1"/>
        <v/>
      </c>
      <c r="AL25" s="174" t="str">
        <f t="shared" si="2"/>
        <v/>
      </c>
      <c r="AM25" s="175" t="str">
        <f t="shared" si="3"/>
        <v/>
      </c>
      <c r="AN25" s="47" t="str">
        <f t="shared" si="16"/>
        <v/>
      </c>
      <c r="AO25" s="176" t="str">
        <f t="shared" si="4"/>
        <v/>
      </c>
      <c r="AQ25" s="177" t="str">
        <f t="shared" si="17"/>
        <v/>
      </c>
    </row>
    <row r="26" spans="2:43" x14ac:dyDescent="0.4">
      <c r="B26" s="89"/>
      <c r="C26" s="90"/>
      <c r="D26" s="91"/>
      <c r="E26" s="92"/>
      <c r="F26" s="93"/>
      <c r="G26" s="94"/>
      <c r="H26" s="95"/>
      <c r="I26" s="82"/>
      <c r="J26" s="82"/>
      <c r="K26" s="82"/>
      <c r="L26" s="82"/>
      <c r="M26" s="82"/>
      <c r="N26" s="96"/>
      <c r="O26" s="170" t="str">
        <f t="shared" si="5"/>
        <v/>
      </c>
      <c r="P26" s="95"/>
      <c r="Q26" s="94"/>
      <c r="R26" s="171" t="str">
        <f t="shared" si="19"/>
        <v/>
      </c>
      <c r="S26" s="76" t="str">
        <f t="shared" si="7"/>
        <v/>
      </c>
      <c r="T26" s="54" t="str">
        <f>IF(E26="","",IF(F26="Reuse",0,IF(F26="Reman",(S26*0.05),IF(F26="Recycle",((1-VLOOKUP(E26,List!$B$3:$C$62,2,FALSE))*S26),IF(AND(F26="Virgin",VLOOKUP(E26,List!$B$3:$E$62,4,FALSE)="Yes"),(S26-(G26*S26)),S26)))))</f>
        <v/>
      </c>
      <c r="U26" s="54" t="str">
        <f>IF(E26="","",(S26*(1-P26))+IF(Q26="Reuse",0,IF(Q26="Reman",(S26*P26*0.05),IF(Q26="Recycle",((1-(VLOOKUP(E26,List!$B$3:$D$62,3,FALSE)))*(S26*P26)),IF(AND(Q26="Compost",VLOOKUP(E26,List!$B$3:$E$62,4,FALSE)="Yes"),0,IF(AND(Q26="Energy Recovery",VLOOKUP(E26,List!$B$3:$F$62,5,FALSE)="Yes"),((S26*P26*(1-G26))+(S26*P26*G26*0.55)),(S26*P26)))))))</f>
        <v/>
      </c>
      <c r="V26" s="54" t="str">
        <f t="shared" si="8"/>
        <v/>
      </c>
      <c r="W26" s="172" t="str">
        <f t="shared" si="20"/>
        <v/>
      </c>
      <c r="X26" s="163"/>
      <c r="Y26" s="79" t="str">
        <f t="shared" si="9"/>
        <v/>
      </c>
      <c r="AA26" s="68" t="str">
        <f t="shared" si="10"/>
        <v/>
      </c>
      <c r="AB26" s="64" t="str">
        <f t="shared" si="11"/>
        <v/>
      </c>
      <c r="AC26" s="64" t="str">
        <f t="shared" si="12"/>
        <v/>
      </c>
      <c r="AD26" s="69" t="str">
        <f t="shared" si="13"/>
        <v/>
      </c>
      <c r="AF26" s="108"/>
      <c r="AG26" s="60" t="str">
        <f t="shared" si="14"/>
        <v/>
      </c>
      <c r="AH26" s="61" t="str">
        <f t="shared" si="15"/>
        <v/>
      </c>
      <c r="AJ26" s="164" t="str">
        <f t="shared" si="0"/>
        <v/>
      </c>
      <c r="AK26" s="173" t="str">
        <f t="shared" si="1"/>
        <v/>
      </c>
      <c r="AL26" s="174" t="str">
        <f t="shared" si="2"/>
        <v/>
      </c>
      <c r="AM26" s="175" t="str">
        <f t="shared" si="3"/>
        <v/>
      </c>
      <c r="AN26" s="47" t="str">
        <f t="shared" si="16"/>
        <v/>
      </c>
      <c r="AO26" s="176" t="str">
        <f t="shared" si="4"/>
        <v/>
      </c>
      <c r="AQ26" s="177" t="str">
        <f t="shared" si="17"/>
        <v/>
      </c>
    </row>
    <row r="27" spans="2:43" x14ac:dyDescent="0.4">
      <c r="B27" s="89"/>
      <c r="C27" s="90"/>
      <c r="D27" s="91"/>
      <c r="E27" s="92"/>
      <c r="F27" s="93"/>
      <c r="G27" s="94"/>
      <c r="H27" s="95"/>
      <c r="I27" s="82"/>
      <c r="J27" s="82"/>
      <c r="K27" s="82"/>
      <c r="L27" s="82"/>
      <c r="M27" s="82"/>
      <c r="N27" s="96"/>
      <c r="O27" s="170" t="str">
        <f t="shared" si="5"/>
        <v/>
      </c>
      <c r="P27" s="95"/>
      <c r="Q27" s="94"/>
      <c r="R27" s="171" t="str">
        <f t="shared" si="19"/>
        <v/>
      </c>
      <c r="S27" s="76" t="str">
        <f t="shared" si="7"/>
        <v/>
      </c>
      <c r="T27" s="54" t="str">
        <f>IF(E27="","",IF(F27="Reuse",0,IF(F27="Reman",(S27*0.05),IF(F27="Recycle",((1-VLOOKUP(E27,List!$B$3:$C$62,2,FALSE))*S27),IF(AND(F27="Virgin",VLOOKUP(E27,List!$B$3:$E$62,4,FALSE)="Yes"),(S27-(G27*S27)),S27)))))</f>
        <v/>
      </c>
      <c r="U27" s="54" t="str">
        <f>IF(E27="","",(S27*(1-P27))+IF(Q27="Reuse",0,IF(Q27="Reman",(S27*P27*0.05),IF(Q27="Recycle",((1-(VLOOKUP(E27,List!$B$3:$D$62,3,FALSE)))*(S27*P27)),IF(AND(Q27="Compost",VLOOKUP(E27,List!$B$3:$E$62,4,FALSE)="Yes"),0,IF(AND(Q27="Energy Recovery",VLOOKUP(E27,List!$B$3:$F$62,5,FALSE)="Yes"),((S27*P27*(1-G27))+(S27*P27*G27*0.55)),(S27*P27)))))))</f>
        <v/>
      </c>
      <c r="V27" s="54" t="str">
        <f t="shared" si="8"/>
        <v/>
      </c>
      <c r="W27" s="172" t="str">
        <f t="shared" si="20"/>
        <v/>
      </c>
      <c r="X27" s="163"/>
      <c r="Y27" s="79" t="str">
        <f t="shared" si="9"/>
        <v/>
      </c>
      <c r="AA27" s="68" t="str">
        <f t="shared" si="10"/>
        <v/>
      </c>
      <c r="AB27" s="64" t="str">
        <f t="shared" si="11"/>
        <v/>
      </c>
      <c r="AC27" s="64" t="str">
        <f t="shared" si="12"/>
        <v/>
      </c>
      <c r="AD27" s="69" t="str">
        <f t="shared" si="13"/>
        <v/>
      </c>
      <c r="AF27" s="108"/>
      <c r="AG27" s="60" t="str">
        <f t="shared" si="14"/>
        <v/>
      </c>
      <c r="AH27" s="61" t="str">
        <f t="shared" si="15"/>
        <v/>
      </c>
      <c r="AJ27" s="164" t="str">
        <f t="shared" si="0"/>
        <v/>
      </c>
      <c r="AK27" s="173" t="str">
        <f t="shared" si="1"/>
        <v/>
      </c>
      <c r="AL27" s="174" t="str">
        <f t="shared" si="2"/>
        <v/>
      </c>
      <c r="AM27" s="175" t="str">
        <f t="shared" si="3"/>
        <v/>
      </c>
      <c r="AN27" s="47" t="str">
        <f t="shared" si="16"/>
        <v/>
      </c>
      <c r="AO27" s="176" t="str">
        <f t="shared" si="4"/>
        <v/>
      </c>
      <c r="AQ27" s="177" t="str">
        <f t="shared" si="17"/>
        <v/>
      </c>
    </row>
    <row r="28" spans="2:43" x14ac:dyDescent="0.4">
      <c r="B28" s="89"/>
      <c r="C28" s="90"/>
      <c r="D28" s="91"/>
      <c r="E28" s="92"/>
      <c r="F28" s="93"/>
      <c r="G28" s="94"/>
      <c r="H28" s="95"/>
      <c r="I28" s="82"/>
      <c r="J28" s="82"/>
      <c r="K28" s="82"/>
      <c r="L28" s="82"/>
      <c r="M28" s="82"/>
      <c r="N28" s="96"/>
      <c r="O28" s="170" t="str">
        <f t="shared" si="5"/>
        <v/>
      </c>
      <c r="P28" s="95"/>
      <c r="Q28" s="94"/>
      <c r="R28" s="171" t="str">
        <f t="shared" si="19"/>
        <v/>
      </c>
      <c r="S28" s="76" t="str">
        <f t="shared" si="7"/>
        <v/>
      </c>
      <c r="T28" s="54" t="str">
        <f>IF(E28="","",IF(F28="Reuse",0,IF(F28="Reman",(S28*0.05),IF(F28="Recycle",((1-VLOOKUP(E28,List!$B$3:$C$62,2,FALSE))*S28),IF(AND(F28="Virgin",VLOOKUP(E28,List!$B$3:$E$62,4,FALSE)="Yes"),(S28-(G28*S28)),S28)))))</f>
        <v/>
      </c>
      <c r="U28" s="54" t="str">
        <f>IF(E28="","",(S28*(1-P28))+IF(Q28="Reuse",0,IF(Q28="Reman",(S28*P28*0.05),IF(Q28="Recycle",((1-(VLOOKUP(E28,List!$B$3:$D$62,3,FALSE)))*(S28*P28)),IF(AND(Q28="Compost",VLOOKUP(E28,List!$B$3:$E$62,4,FALSE)="Yes"),0,IF(AND(Q28="Energy Recovery",VLOOKUP(E28,List!$B$3:$F$62,5,FALSE)="Yes"),((S28*P28*(1-G28))+(S28*P28*G28*0.55)),(S28*P28)))))))</f>
        <v/>
      </c>
      <c r="V28" s="54" t="str">
        <f t="shared" si="8"/>
        <v/>
      </c>
      <c r="W28" s="172" t="str">
        <f t="shared" si="20"/>
        <v/>
      </c>
      <c r="X28" s="163"/>
      <c r="Y28" s="79" t="str">
        <f t="shared" si="9"/>
        <v/>
      </c>
      <c r="AA28" s="68" t="str">
        <f t="shared" si="10"/>
        <v/>
      </c>
      <c r="AB28" s="64" t="str">
        <f t="shared" si="11"/>
        <v/>
      </c>
      <c r="AC28" s="64" t="str">
        <f t="shared" si="12"/>
        <v/>
      </c>
      <c r="AD28" s="69" t="str">
        <f t="shared" si="13"/>
        <v/>
      </c>
      <c r="AF28" s="108"/>
      <c r="AG28" s="60" t="str">
        <f t="shared" si="14"/>
        <v/>
      </c>
      <c r="AH28" s="61" t="str">
        <f t="shared" si="15"/>
        <v/>
      </c>
      <c r="AJ28" s="164" t="str">
        <f t="shared" si="0"/>
        <v/>
      </c>
      <c r="AK28" s="173" t="str">
        <f t="shared" si="1"/>
        <v/>
      </c>
      <c r="AL28" s="174" t="str">
        <f t="shared" si="2"/>
        <v/>
      </c>
      <c r="AM28" s="175" t="str">
        <f t="shared" si="3"/>
        <v/>
      </c>
      <c r="AN28" s="47" t="str">
        <f t="shared" si="16"/>
        <v/>
      </c>
      <c r="AO28" s="176" t="str">
        <f t="shared" si="4"/>
        <v/>
      </c>
      <c r="AQ28" s="177" t="str">
        <f t="shared" si="17"/>
        <v/>
      </c>
    </row>
    <row r="29" spans="2:43" x14ac:dyDescent="0.4">
      <c r="B29" s="89"/>
      <c r="C29" s="90"/>
      <c r="D29" s="91"/>
      <c r="E29" s="92"/>
      <c r="F29" s="93"/>
      <c r="G29" s="94"/>
      <c r="H29" s="95"/>
      <c r="I29" s="82"/>
      <c r="J29" s="82"/>
      <c r="K29" s="82"/>
      <c r="L29" s="82"/>
      <c r="M29" s="82"/>
      <c r="N29" s="96"/>
      <c r="O29" s="170" t="str">
        <f t="shared" si="5"/>
        <v/>
      </c>
      <c r="P29" s="95"/>
      <c r="Q29" s="94"/>
      <c r="R29" s="171" t="str">
        <f t="shared" si="19"/>
        <v/>
      </c>
      <c r="S29" s="76" t="str">
        <f t="shared" si="7"/>
        <v/>
      </c>
      <c r="T29" s="54" t="str">
        <f>IF(E29="","",IF(F29="Reuse",0,IF(F29="Reman",(S29*0.05),IF(F29="Recycle",((1-VLOOKUP(E29,List!$B$3:$C$62,2,FALSE))*S29),IF(AND(F29="Virgin",VLOOKUP(E29,List!$B$3:$E$62,4,FALSE)="Yes"),(S29-(G29*S29)),S29)))))</f>
        <v/>
      </c>
      <c r="U29" s="54" t="str">
        <f>IF(E29="","",(S29*(1-P29))+IF(Q29="Reuse",0,IF(Q29="Reman",(S29*P29*0.05),IF(Q29="Recycle",((1-(VLOOKUP(E29,List!$B$3:$D$62,3,FALSE)))*(S29*P29)),IF(AND(Q29="Compost",VLOOKUP(E29,List!$B$3:$E$62,4,FALSE)="Yes"),0,IF(AND(Q29="Energy Recovery",VLOOKUP(E29,List!$B$3:$F$62,5,FALSE)="Yes"),((S29*P29*(1-G29))+(S29*P29*G29*0.55)),(S29*P29)))))))</f>
        <v/>
      </c>
      <c r="V29" s="54" t="str">
        <f t="shared" si="8"/>
        <v/>
      </c>
      <c r="W29" s="172" t="str">
        <f t="shared" si="20"/>
        <v/>
      </c>
      <c r="X29" s="163"/>
      <c r="Y29" s="79" t="str">
        <f t="shared" si="9"/>
        <v/>
      </c>
      <c r="AA29" s="68" t="str">
        <f t="shared" si="10"/>
        <v/>
      </c>
      <c r="AB29" s="64" t="str">
        <f t="shared" si="11"/>
        <v/>
      </c>
      <c r="AC29" s="64" t="str">
        <f t="shared" si="12"/>
        <v/>
      </c>
      <c r="AD29" s="69" t="str">
        <f t="shared" si="13"/>
        <v/>
      </c>
      <c r="AF29" s="108"/>
      <c r="AG29" s="60" t="str">
        <f t="shared" si="14"/>
        <v/>
      </c>
      <c r="AH29" s="61" t="str">
        <f t="shared" si="15"/>
        <v/>
      </c>
      <c r="AJ29" s="164" t="str">
        <f t="shared" si="0"/>
        <v/>
      </c>
      <c r="AK29" s="173" t="str">
        <f t="shared" si="1"/>
        <v/>
      </c>
      <c r="AL29" s="174" t="str">
        <f t="shared" si="2"/>
        <v/>
      </c>
      <c r="AM29" s="175" t="str">
        <f t="shared" si="3"/>
        <v/>
      </c>
      <c r="AN29" s="47" t="str">
        <f t="shared" si="16"/>
        <v/>
      </c>
      <c r="AO29" s="176" t="str">
        <f t="shared" si="4"/>
        <v/>
      </c>
      <c r="AQ29" s="177" t="str">
        <f t="shared" si="17"/>
        <v/>
      </c>
    </row>
    <row r="30" spans="2:43" x14ac:dyDescent="0.4">
      <c r="B30" s="89"/>
      <c r="C30" s="90"/>
      <c r="D30" s="91"/>
      <c r="E30" s="92"/>
      <c r="F30" s="93"/>
      <c r="G30" s="94"/>
      <c r="H30" s="95"/>
      <c r="I30" s="82"/>
      <c r="J30" s="82"/>
      <c r="K30" s="82"/>
      <c r="L30" s="82"/>
      <c r="M30" s="82"/>
      <c r="N30" s="96"/>
      <c r="O30" s="170" t="str">
        <f t="shared" si="5"/>
        <v/>
      </c>
      <c r="P30" s="95"/>
      <c r="Q30" s="94"/>
      <c r="R30" s="171" t="str">
        <f t="shared" si="19"/>
        <v/>
      </c>
      <c r="S30" s="76" t="str">
        <f t="shared" si="7"/>
        <v/>
      </c>
      <c r="T30" s="54" t="str">
        <f>IF(E30="","",IF(F30="Reuse",0,IF(F30="Reman",(S30*0.05),IF(F30="Recycle",((1-VLOOKUP(E30,List!$B$3:$C$62,2,FALSE))*S30),IF(AND(F30="Virgin",VLOOKUP(E30,List!$B$3:$E$62,4,FALSE)="Yes"),(S30-(G30*S30)),S30)))))</f>
        <v/>
      </c>
      <c r="U30" s="54" t="str">
        <f>IF(E30="","",(S30*(1-P30))+IF(Q30="Reuse",0,IF(Q30="Reman",(S30*P30*0.05),IF(Q30="Recycle",((1-(VLOOKUP(E30,List!$B$3:$D$62,3,FALSE)))*(S30*P30)),IF(AND(Q30="Compost",VLOOKUP(E30,List!$B$3:$E$62,4,FALSE)="Yes"),0,IF(AND(Q30="Energy Recovery",VLOOKUP(E30,List!$B$3:$F$62,5,FALSE)="Yes"),((S30*P30*(1-G30))+(S30*P30*G30*0.55)),(S30*P30)))))))</f>
        <v/>
      </c>
      <c r="V30" s="54" t="str">
        <f t="shared" si="8"/>
        <v/>
      </c>
      <c r="W30" s="172" t="str">
        <f t="shared" si="20"/>
        <v/>
      </c>
      <c r="X30" s="163"/>
      <c r="Y30" s="79" t="str">
        <f t="shared" si="9"/>
        <v/>
      </c>
      <c r="AA30" s="68" t="str">
        <f t="shared" si="10"/>
        <v/>
      </c>
      <c r="AB30" s="64" t="str">
        <f t="shared" si="11"/>
        <v/>
      </c>
      <c r="AC30" s="64" t="str">
        <f t="shared" si="12"/>
        <v/>
      </c>
      <c r="AD30" s="69" t="str">
        <f t="shared" si="13"/>
        <v/>
      </c>
      <c r="AF30" s="108"/>
      <c r="AG30" s="60" t="str">
        <f t="shared" si="14"/>
        <v/>
      </c>
      <c r="AH30" s="61" t="str">
        <f t="shared" si="15"/>
        <v/>
      </c>
      <c r="AJ30" s="164" t="str">
        <f t="shared" si="0"/>
        <v/>
      </c>
      <c r="AK30" s="173" t="str">
        <f t="shared" si="1"/>
        <v/>
      </c>
      <c r="AL30" s="174" t="str">
        <f t="shared" si="2"/>
        <v/>
      </c>
      <c r="AM30" s="175" t="str">
        <f t="shared" si="3"/>
        <v/>
      </c>
      <c r="AN30" s="47" t="str">
        <f t="shared" si="16"/>
        <v/>
      </c>
      <c r="AO30" s="176" t="str">
        <f t="shared" si="4"/>
        <v/>
      </c>
      <c r="AQ30" s="177" t="str">
        <f t="shared" si="17"/>
        <v/>
      </c>
    </row>
    <row r="31" spans="2:43" x14ac:dyDescent="0.4">
      <c r="B31" s="89"/>
      <c r="C31" s="90"/>
      <c r="D31" s="91"/>
      <c r="E31" s="92"/>
      <c r="F31" s="93"/>
      <c r="G31" s="94"/>
      <c r="H31" s="95"/>
      <c r="I31" s="82"/>
      <c r="J31" s="82"/>
      <c r="K31" s="82"/>
      <c r="L31" s="82"/>
      <c r="M31" s="82"/>
      <c r="N31" s="96"/>
      <c r="O31" s="170" t="str">
        <f t="shared" si="5"/>
        <v/>
      </c>
      <c r="P31" s="95"/>
      <c r="Q31" s="94"/>
      <c r="R31" s="171" t="str">
        <f t="shared" si="6"/>
        <v/>
      </c>
      <c r="S31" s="76" t="str">
        <f t="shared" si="7"/>
        <v/>
      </c>
      <c r="T31" s="54" t="str">
        <f>IF(E31="","",IF(F31="Reuse",0,IF(F31="Reman",(S31*0.05),IF(F31="Recycle",((1-VLOOKUP(E31,List!$B$3:$C$62,2,FALSE))*S31),IF(AND(F31="Virgin",VLOOKUP(E31,List!$B$3:$E$62,4,FALSE)="Yes"),(S31-(G31*S31)),S31)))))</f>
        <v/>
      </c>
      <c r="U31" s="54" t="str">
        <f>IF(E31="","",(S31*(1-P31))+IF(Q31="Reuse",0,IF(Q31="Reman",(S31*P31*0.05),IF(Q31="Recycle",((1-(VLOOKUP(E31,List!$B$3:$D$62,3,FALSE)))*(S31*P31)),IF(AND(Q31="Compost",VLOOKUP(E31,List!$B$3:$E$62,4,FALSE)="Yes"),0,IF(AND(Q31="Energy Recovery",VLOOKUP(E31,List!$B$3:$F$62,5,FALSE)="Yes"),((S31*P31*(1-G31))+(S31*P31*G31*0.55)),(S31*P31)))))))</f>
        <v/>
      </c>
      <c r="V31" s="54" t="str">
        <f t="shared" si="8"/>
        <v/>
      </c>
      <c r="W31" s="172" t="str">
        <f t="shared" si="18"/>
        <v/>
      </c>
      <c r="X31" s="163"/>
      <c r="Y31" s="79" t="str">
        <f t="shared" si="9"/>
        <v/>
      </c>
      <c r="AA31" s="68" t="str">
        <f t="shared" si="10"/>
        <v/>
      </c>
      <c r="AB31" s="64" t="str">
        <f t="shared" si="11"/>
        <v/>
      </c>
      <c r="AC31" s="64" t="str">
        <f t="shared" si="12"/>
        <v/>
      </c>
      <c r="AD31" s="69" t="str">
        <f t="shared" si="13"/>
        <v/>
      </c>
      <c r="AF31" s="108"/>
      <c r="AG31" s="60" t="str">
        <f t="shared" si="14"/>
        <v/>
      </c>
      <c r="AH31" s="61" t="str">
        <f t="shared" si="15"/>
        <v/>
      </c>
      <c r="AJ31" s="164" t="str">
        <f t="shared" si="0"/>
        <v/>
      </c>
      <c r="AK31" s="173" t="str">
        <f t="shared" si="1"/>
        <v/>
      </c>
      <c r="AL31" s="174" t="str">
        <f t="shared" si="2"/>
        <v/>
      </c>
      <c r="AM31" s="175" t="str">
        <f t="shared" si="3"/>
        <v/>
      </c>
      <c r="AN31" s="47" t="str">
        <f t="shared" si="16"/>
        <v/>
      </c>
      <c r="AO31" s="176" t="str">
        <f t="shared" si="4"/>
        <v/>
      </c>
      <c r="AQ31" s="177" t="str">
        <f t="shared" si="17"/>
        <v/>
      </c>
    </row>
    <row r="32" spans="2:43" x14ac:dyDescent="0.4">
      <c r="B32" s="89"/>
      <c r="C32" s="90"/>
      <c r="D32" s="91"/>
      <c r="E32" s="92"/>
      <c r="F32" s="93"/>
      <c r="G32" s="94"/>
      <c r="H32" s="95"/>
      <c r="I32" s="82"/>
      <c r="J32" s="82"/>
      <c r="K32" s="82"/>
      <c r="L32" s="82"/>
      <c r="M32" s="82"/>
      <c r="N32" s="96"/>
      <c r="O32" s="170" t="str">
        <f t="shared" si="5"/>
        <v/>
      </c>
      <c r="P32" s="95"/>
      <c r="Q32" s="94"/>
      <c r="R32" s="171" t="str">
        <f t="shared" si="6"/>
        <v/>
      </c>
      <c r="S32" s="76" t="str">
        <f t="shared" si="7"/>
        <v/>
      </c>
      <c r="T32" s="54" t="str">
        <f>IF(E32="","",IF(F32="Reuse",0,IF(F32="Reman",(S32*0.05),IF(F32="Recycle",((1-VLOOKUP(E32,List!$B$3:$C$62,2,FALSE))*S32),IF(AND(F32="Virgin",VLOOKUP(E32,List!$B$3:$E$62,4,FALSE)="Yes"),(S32-(G32*S32)),S32)))))</f>
        <v/>
      </c>
      <c r="U32" s="54" t="str">
        <f>IF(E32="","",(S32*(1-P32))+IF(Q32="Reuse",0,IF(Q32="Reman",(S32*P32*0.05),IF(Q32="Recycle",((1-(VLOOKUP(E32,List!$B$3:$D$62,3,FALSE)))*(S32*P32)),IF(AND(Q32="Compost",VLOOKUP(E32,List!$B$3:$E$62,4,FALSE)="Yes"),0,IF(AND(Q32="Energy Recovery",VLOOKUP(E32,List!$B$3:$F$62,5,FALSE)="Yes"),((S32*P32*(1-G32))+(S32*P32*G32*0.55)),(S32*P32)))))))</f>
        <v/>
      </c>
      <c r="V32" s="54" t="str">
        <f t="shared" si="8"/>
        <v/>
      </c>
      <c r="W32" s="172" t="str">
        <f t="shared" si="18"/>
        <v/>
      </c>
      <c r="X32" s="163"/>
      <c r="Y32" s="79" t="str">
        <f t="shared" si="9"/>
        <v/>
      </c>
      <c r="AA32" s="68" t="str">
        <f t="shared" si="10"/>
        <v/>
      </c>
      <c r="AB32" s="64" t="str">
        <f t="shared" si="11"/>
        <v/>
      </c>
      <c r="AC32" s="64" t="str">
        <f t="shared" si="12"/>
        <v/>
      </c>
      <c r="AD32" s="69" t="str">
        <f t="shared" si="13"/>
        <v/>
      </c>
      <c r="AF32" s="108"/>
      <c r="AG32" s="60" t="str">
        <f t="shared" si="14"/>
        <v/>
      </c>
      <c r="AH32" s="61" t="str">
        <f t="shared" si="15"/>
        <v/>
      </c>
      <c r="AJ32" s="164" t="str">
        <f t="shared" si="0"/>
        <v/>
      </c>
      <c r="AK32" s="173" t="str">
        <f t="shared" si="1"/>
        <v/>
      </c>
      <c r="AL32" s="174" t="str">
        <f t="shared" si="2"/>
        <v/>
      </c>
      <c r="AM32" s="175" t="str">
        <f t="shared" si="3"/>
        <v/>
      </c>
      <c r="AN32" s="47" t="str">
        <f t="shared" si="16"/>
        <v/>
      </c>
      <c r="AO32" s="176" t="str">
        <f t="shared" si="4"/>
        <v/>
      </c>
      <c r="AQ32" s="177" t="str">
        <f t="shared" si="17"/>
        <v/>
      </c>
    </row>
    <row r="33" spans="2:43" x14ac:dyDescent="0.4">
      <c r="B33" s="89"/>
      <c r="C33" s="90"/>
      <c r="D33" s="91"/>
      <c r="E33" s="92"/>
      <c r="F33" s="93"/>
      <c r="G33" s="94"/>
      <c r="H33" s="95"/>
      <c r="I33" s="82"/>
      <c r="J33" s="82"/>
      <c r="K33" s="82"/>
      <c r="L33" s="82"/>
      <c r="M33" s="82"/>
      <c r="N33" s="96"/>
      <c r="O33" s="170" t="str">
        <f t="shared" si="5"/>
        <v/>
      </c>
      <c r="P33" s="95"/>
      <c r="Q33" s="94"/>
      <c r="R33" s="171" t="str">
        <f t="shared" si="6"/>
        <v/>
      </c>
      <c r="S33" s="76" t="str">
        <f t="shared" si="7"/>
        <v/>
      </c>
      <c r="T33" s="54" t="str">
        <f>IF(E33="","",IF(F33="Reuse",0,IF(F33="Reman",(S33*0.05),IF(F33="Recycle",((1-VLOOKUP(E33,List!$B$3:$C$62,2,FALSE))*S33),IF(AND(F33="Virgin",VLOOKUP(E33,List!$B$3:$E$62,4,FALSE)="Yes"),(S33-(G33*S33)),S33)))))</f>
        <v/>
      </c>
      <c r="U33" s="54" t="str">
        <f>IF(E33="","",(S33*(1-P33))+IF(Q33="Reuse",0,IF(Q33="Reman",(S33*P33*0.05),IF(Q33="Recycle",((1-(VLOOKUP(E33,List!$B$3:$D$62,3,FALSE)))*(S33*P33)),IF(AND(Q33="Compost",VLOOKUP(E33,List!$B$3:$E$62,4,FALSE)="Yes"),0,IF(AND(Q33="Energy Recovery",VLOOKUP(E33,List!$B$3:$F$62,5,FALSE)="Yes"),((S33*P33*(1-G33))+(S33*P33*G33*0.55)),(S33*P33)))))))</f>
        <v/>
      </c>
      <c r="V33" s="54" t="str">
        <f t="shared" si="8"/>
        <v/>
      </c>
      <c r="W33" s="172" t="str">
        <f t="shared" si="18"/>
        <v/>
      </c>
      <c r="X33" s="163"/>
      <c r="Y33" s="79" t="str">
        <f t="shared" si="9"/>
        <v/>
      </c>
      <c r="AA33" s="68" t="str">
        <f t="shared" si="10"/>
        <v/>
      </c>
      <c r="AB33" s="64" t="str">
        <f t="shared" si="11"/>
        <v/>
      </c>
      <c r="AC33" s="64" t="str">
        <f t="shared" si="12"/>
        <v/>
      </c>
      <c r="AD33" s="69" t="str">
        <f t="shared" si="13"/>
        <v/>
      </c>
      <c r="AF33" s="108"/>
      <c r="AG33" s="60" t="str">
        <f t="shared" si="14"/>
        <v/>
      </c>
      <c r="AH33" s="61" t="str">
        <f t="shared" si="15"/>
        <v/>
      </c>
      <c r="AJ33" s="164" t="str">
        <f t="shared" si="0"/>
        <v/>
      </c>
      <c r="AK33" s="173" t="str">
        <f t="shared" si="1"/>
        <v/>
      </c>
      <c r="AL33" s="174" t="str">
        <f t="shared" si="2"/>
        <v/>
      </c>
      <c r="AM33" s="175" t="str">
        <f t="shared" si="3"/>
        <v/>
      </c>
      <c r="AN33" s="47" t="str">
        <f t="shared" si="16"/>
        <v/>
      </c>
      <c r="AO33" s="176" t="str">
        <f t="shared" si="4"/>
        <v/>
      </c>
      <c r="AQ33" s="177" t="str">
        <f t="shared" si="17"/>
        <v/>
      </c>
    </row>
    <row r="34" spans="2:43" x14ac:dyDescent="0.4">
      <c r="B34" s="89"/>
      <c r="C34" s="90"/>
      <c r="D34" s="91"/>
      <c r="E34" s="92"/>
      <c r="F34" s="93"/>
      <c r="G34" s="94"/>
      <c r="H34" s="95"/>
      <c r="I34" s="82"/>
      <c r="J34" s="82"/>
      <c r="K34" s="82"/>
      <c r="L34" s="82"/>
      <c r="M34" s="82"/>
      <c r="N34" s="96"/>
      <c r="O34" s="170" t="str">
        <f t="shared" si="5"/>
        <v/>
      </c>
      <c r="P34" s="95"/>
      <c r="Q34" s="94"/>
      <c r="R34" s="171" t="str">
        <f t="shared" si="6"/>
        <v/>
      </c>
      <c r="S34" s="76" t="str">
        <f t="shared" si="7"/>
        <v/>
      </c>
      <c r="T34" s="54" t="str">
        <f>IF(E34="","",IF(F34="Reuse",0,IF(F34="Reman",(S34*0.05),IF(F34="Recycle",((1-VLOOKUP(E34,List!$B$3:$C$62,2,FALSE))*S34),IF(AND(F34="Virgin",VLOOKUP(E34,List!$B$3:$E$62,4,FALSE)="Yes"),(S34-(G34*S34)),S34)))))</f>
        <v/>
      </c>
      <c r="U34" s="54" t="str">
        <f>IF(E34="","",(S34*(1-P34))+IF(Q34="Reuse",0,IF(Q34="Reman",(S34*P34*0.05),IF(Q34="Recycle",((1-(VLOOKUP(E34,List!$B$3:$D$62,3,FALSE)))*(S34*P34)),IF(AND(Q34="Compost",VLOOKUP(E34,List!$B$3:$E$62,4,FALSE)="Yes"),0,IF(AND(Q34="Energy Recovery",VLOOKUP(E34,List!$B$3:$F$62,5,FALSE)="Yes"),((S34*P34*(1-G34))+(S34*P34*G34*0.55)),(S34*P34)))))))</f>
        <v/>
      </c>
      <c r="V34" s="54" t="str">
        <f t="shared" si="8"/>
        <v/>
      </c>
      <c r="W34" s="172" t="str">
        <f t="shared" si="18"/>
        <v/>
      </c>
      <c r="X34" s="163"/>
      <c r="Y34" s="79" t="str">
        <f t="shared" si="9"/>
        <v/>
      </c>
      <c r="AA34" s="68" t="str">
        <f t="shared" si="10"/>
        <v/>
      </c>
      <c r="AB34" s="64" t="str">
        <f t="shared" si="11"/>
        <v/>
      </c>
      <c r="AC34" s="64" t="str">
        <f t="shared" si="12"/>
        <v/>
      </c>
      <c r="AD34" s="69" t="str">
        <f t="shared" si="13"/>
        <v/>
      </c>
      <c r="AF34" s="108"/>
      <c r="AG34" s="60" t="str">
        <f t="shared" si="14"/>
        <v/>
      </c>
      <c r="AH34" s="61" t="str">
        <f t="shared" si="15"/>
        <v/>
      </c>
      <c r="AJ34" s="164" t="str">
        <f t="shared" si="0"/>
        <v/>
      </c>
      <c r="AK34" s="173" t="str">
        <f t="shared" si="1"/>
        <v/>
      </c>
      <c r="AL34" s="174" t="str">
        <f t="shared" si="2"/>
        <v/>
      </c>
      <c r="AM34" s="175" t="str">
        <f t="shared" si="3"/>
        <v/>
      </c>
      <c r="AN34" s="47" t="str">
        <f t="shared" si="16"/>
        <v/>
      </c>
      <c r="AO34" s="176" t="str">
        <f t="shared" si="4"/>
        <v/>
      </c>
      <c r="AQ34" s="177" t="str">
        <f t="shared" si="17"/>
        <v/>
      </c>
    </row>
    <row r="35" spans="2:43" x14ac:dyDescent="0.4">
      <c r="B35" s="89"/>
      <c r="C35" s="90"/>
      <c r="D35" s="91"/>
      <c r="E35" s="92"/>
      <c r="F35" s="93"/>
      <c r="G35" s="94"/>
      <c r="H35" s="95"/>
      <c r="I35" s="82"/>
      <c r="J35" s="82"/>
      <c r="K35" s="82"/>
      <c r="L35" s="82"/>
      <c r="M35" s="82"/>
      <c r="N35" s="96"/>
      <c r="O35" s="170" t="str">
        <f t="shared" si="5"/>
        <v/>
      </c>
      <c r="P35" s="95"/>
      <c r="Q35" s="94"/>
      <c r="R35" s="171" t="str">
        <f t="shared" si="6"/>
        <v/>
      </c>
      <c r="S35" s="76" t="str">
        <f t="shared" si="7"/>
        <v/>
      </c>
      <c r="T35" s="54" t="str">
        <f>IF(E35="","",IF(F35="Reuse",0,IF(F35="Reman",(S35*0.05),IF(F35="Recycle",((1-VLOOKUP(E35,List!$B$3:$C$62,2,FALSE))*S35),IF(AND(F35="Virgin",VLOOKUP(E35,List!$B$3:$E$62,4,FALSE)="Yes"),(S35-(G35*S35)),S35)))))</f>
        <v/>
      </c>
      <c r="U35" s="54" t="str">
        <f>IF(E35="","",(S35*(1-P35))+IF(Q35="Reuse",0,IF(Q35="Reman",(S35*P35*0.05),IF(Q35="Recycle",((1-(VLOOKUP(E35,List!$B$3:$D$62,3,FALSE)))*(S35*P35)),IF(AND(Q35="Compost",VLOOKUP(E35,List!$B$3:$E$62,4,FALSE)="Yes"),0,IF(AND(Q35="Energy Recovery",VLOOKUP(E35,List!$B$3:$F$62,5,FALSE)="Yes"),((S35*P35*(1-G35))+(S35*P35*G35*0.55)),(S35*P35)))))))</f>
        <v/>
      </c>
      <c r="V35" s="54" t="str">
        <f t="shared" si="8"/>
        <v/>
      </c>
      <c r="W35" s="172" t="str">
        <f t="shared" si="18"/>
        <v/>
      </c>
      <c r="X35" s="163"/>
      <c r="Y35" s="79" t="str">
        <f t="shared" si="9"/>
        <v/>
      </c>
      <c r="AA35" s="68" t="str">
        <f t="shared" si="10"/>
        <v/>
      </c>
      <c r="AB35" s="64" t="str">
        <f t="shared" si="11"/>
        <v/>
      </c>
      <c r="AC35" s="64" t="str">
        <f t="shared" si="12"/>
        <v/>
      </c>
      <c r="AD35" s="69" t="str">
        <f t="shared" si="13"/>
        <v/>
      </c>
      <c r="AF35" s="108"/>
      <c r="AG35" s="60" t="str">
        <f t="shared" si="14"/>
        <v/>
      </c>
      <c r="AH35" s="61" t="str">
        <f t="shared" si="15"/>
        <v/>
      </c>
      <c r="AJ35" s="164" t="str">
        <f t="shared" si="0"/>
        <v/>
      </c>
      <c r="AK35" s="173" t="str">
        <f t="shared" si="1"/>
        <v/>
      </c>
      <c r="AL35" s="174" t="str">
        <f t="shared" si="2"/>
        <v/>
      </c>
      <c r="AM35" s="175" t="str">
        <f t="shared" si="3"/>
        <v/>
      </c>
      <c r="AN35" s="47" t="str">
        <f t="shared" si="16"/>
        <v/>
      </c>
      <c r="AO35" s="176" t="str">
        <f t="shared" si="4"/>
        <v/>
      </c>
      <c r="AQ35" s="177" t="str">
        <f t="shared" si="17"/>
        <v/>
      </c>
    </row>
    <row r="36" spans="2:43" x14ac:dyDescent="0.4">
      <c r="B36" s="89"/>
      <c r="C36" s="90"/>
      <c r="D36" s="91"/>
      <c r="E36" s="92"/>
      <c r="F36" s="93"/>
      <c r="G36" s="94"/>
      <c r="H36" s="95"/>
      <c r="I36" s="82"/>
      <c r="J36" s="82"/>
      <c r="K36" s="82"/>
      <c r="L36" s="82"/>
      <c r="M36" s="82"/>
      <c r="N36" s="96"/>
      <c r="O36" s="170" t="str">
        <f t="shared" si="5"/>
        <v/>
      </c>
      <c r="P36" s="95"/>
      <c r="Q36" s="94"/>
      <c r="R36" s="171" t="str">
        <f t="shared" ref="R36:R38" si="21">IF(E36="","",IF(W36="","",IF((1-W36*(0.9/$O36))&lt;0,0,(1-W36*(0.9/$O36)))))</f>
        <v/>
      </c>
      <c r="S36" s="76" t="str">
        <f t="shared" si="7"/>
        <v/>
      </c>
      <c r="T36" s="54" t="str">
        <f>IF(E36="","",IF(F36="Reuse",0,IF(F36="Reman",(S36*0.05),IF(F36="Recycle",((1-VLOOKUP(E36,List!$B$3:$C$62,2,FALSE))*S36),IF(AND(F36="Virgin",VLOOKUP(E36,List!$B$3:$E$62,4,FALSE)="Yes"),(S36-(G36*S36)),S36)))))</f>
        <v/>
      </c>
      <c r="U36" s="54" t="str">
        <f>IF(E36="","",(S36*(1-P36))+IF(Q36="Reuse",0,IF(Q36="Reman",(S36*P36*0.05),IF(Q36="Recycle",((1-(VLOOKUP(E36,List!$B$3:$D$62,3,FALSE)))*(S36*P36)),IF(AND(Q36="Compost",VLOOKUP(E36,List!$B$3:$E$62,4,FALSE)="Yes"),0,IF(AND(Q36="Energy Recovery",VLOOKUP(E36,List!$B$3:$F$62,5,FALSE)="Yes"),((S36*P36*(1-G36))+(S36*P36*G36*0.55)),(S36*P36)))))))</f>
        <v/>
      </c>
      <c r="V36" s="54" t="str">
        <f t="shared" si="8"/>
        <v/>
      </c>
      <c r="W36" s="172" t="str">
        <f t="shared" ref="W36:W38" si="22">IF(E36="","",IF(S36=0,"",((T36+U36)/(2*S36))))</f>
        <v/>
      </c>
      <c r="X36" s="163"/>
      <c r="Y36" s="79" t="str">
        <f t="shared" si="9"/>
        <v/>
      </c>
      <c r="AA36" s="68" t="str">
        <f t="shared" si="10"/>
        <v/>
      </c>
      <c r="AB36" s="64" t="str">
        <f t="shared" si="11"/>
        <v/>
      </c>
      <c r="AC36" s="64" t="str">
        <f t="shared" si="12"/>
        <v/>
      </c>
      <c r="AD36" s="69" t="str">
        <f t="shared" si="13"/>
        <v/>
      </c>
      <c r="AF36" s="108"/>
      <c r="AG36" s="60" t="str">
        <f t="shared" si="14"/>
        <v/>
      </c>
      <c r="AH36" s="61" t="str">
        <f t="shared" si="15"/>
        <v/>
      </c>
      <c r="AJ36" s="164" t="str">
        <f t="shared" si="0"/>
        <v/>
      </c>
      <c r="AK36" s="173" t="str">
        <f t="shared" si="1"/>
        <v/>
      </c>
      <c r="AL36" s="174" t="str">
        <f t="shared" si="2"/>
        <v/>
      </c>
      <c r="AM36" s="175" t="str">
        <f t="shared" si="3"/>
        <v/>
      </c>
      <c r="AN36" s="47" t="str">
        <f t="shared" si="16"/>
        <v/>
      </c>
      <c r="AO36" s="176" t="str">
        <f t="shared" si="4"/>
        <v/>
      </c>
      <c r="AQ36" s="177" t="str">
        <f t="shared" si="17"/>
        <v/>
      </c>
    </row>
    <row r="37" spans="2:43" x14ac:dyDescent="0.4">
      <c r="B37" s="89"/>
      <c r="C37" s="90"/>
      <c r="D37" s="91"/>
      <c r="E37" s="92"/>
      <c r="F37" s="93"/>
      <c r="G37" s="94"/>
      <c r="H37" s="95"/>
      <c r="I37" s="82"/>
      <c r="J37" s="82"/>
      <c r="K37" s="82"/>
      <c r="L37" s="82"/>
      <c r="M37" s="82"/>
      <c r="N37" s="96"/>
      <c r="O37" s="170" t="str">
        <f t="shared" si="5"/>
        <v/>
      </c>
      <c r="P37" s="95"/>
      <c r="Q37" s="94"/>
      <c r="R37" s="171" t="str">
        <f t="shared" si="21"/>
        <v/>
      </c>
      <c r="S37" s="76" t="str">
        <f t="shared" si="7"/>
        <v/>
      </c>
      <c r="T37" s="54" t="str">
        <f>IF(E37="","",IF(F37="Reuse",0,IF(F37="Reman",(S37*0.05),IF(F37="Recycle",((1-VLOOKUP(E37,List!$B$3:$C$62,2,FALSE))*S37),IF(AND(F37="Virgin",VLOOKUP(E37,List!$B$3:$E$62,4,FALSE)="Yes"),(S37-(G37*S37)),S37)))))</f>
        <v/>
      </c>
      <c r="U37" s="54" t="str">
        <f>IF(E37="","",(S37*(1-P37))+IF(Q37="Reuse",0,IF(Q37="Reman",(S37*P37*0.05),IF(Q37="Recycle",((1-(VLOOKUP(E37,List!$B$3:$D$62,3,FALSE)))*(S37*P37)),IF(AND(Q37="Compost",VLOOKUP(E37,List!$B$3:$E$62,4,FALSE)="Yes"),0,IF(AND(Q37="Energy Recovery",VLOOKUP(E37,List!$B$3:$F$62,5,FALSE)="Yes"),((S37*P37*(1-G37))+(S37*P37*G37*0.55)),(S37*P37)))))))</f>
        <v/>
      </c>
      <c r="V37" s="54" t="str">
        <f t="shared" si="8"/>
        <v/>
      </c>
      <c r="W37" s="172" t="str">
        <f t="shared" si="22"/>
        <v/>
      </c>
      <c r="X37" s="163"/>
      <c r="Y37" s="79" t="str">
        <f t="shared" si="9"/>
        <v/>
      </c>
      <c r="AA37" s="68" t="str">
        <f t="shared" si="10"/>
        <v/>
      </c>
      <c r="AB37" s="64" t="str">
        <f t="shared" si="11"/>
        <v/>
      </c>
      <c r="AC37" s="64" t="str">
        <f t="shared" si="12"/>
        <v/>
      </c>
      <c r="AD37" s="69" t="str">
        <f t="shared" si="13"/>
        <v/>
      </c>
      <c r="AF37" s="108"/>
      <c r="AG37" s="60" t="str">
        <f t="shared" si="14"/>
        <v/>
      </c>
      <c r="AH37" s="61" t="str">
        <f t="shared" si="15"/>
        <v/>
      </c>
      <c r="AJ37" s="164" t="str">
        <f t="shared" si="0"/>
        <v/>
      </c>
      <c r="AK37" s="173" t="str">
        <f t="shared" si="1"/>
        <v/>
      </c>
      <c r="AL37" s="174" t="str">
        <f t="shared" si="2"/>
        <v/>
      </c>
      <c r="AM37" s="175" t="str">
        <f t="shared" si="3"/>
        <v/>
      </c>
      <c r="AN37" s="47" t="str">
        <f t="shared" si="16"/>
        <v/>
      </c>
      <c r="AO37" s="176" t="str">
        <f t="shared" si="4"/>
        <v/>
      </c>
      <c r="AQ37" s="177" t="str">
        <f t="shared" si="17"/>
        <v/>
      </c>
    </row>
    <row r="38" spans="2:43" x14ac:dyDescent="0.4">
      <c r="B38" s="89"/>
      <c r="C38" s="90"/>
      <c r="D38" s="91"/>
      <c r="E38" s="92"/>
      <c r="F38" s="93"/>
      <c r="G38" s="94"/>
      <c r="H38" s="95"/>
      <c r="I38" s="82"/>
      <c r="J38" s="82"/>
      <c r="K38" s="82"/>
      <c r="L38" s="82"/>
      <c r="M38" s="82"/>
      <c r="N38" s="96"/>
      <c r="O38" s="170" t="str">
        <f t="shared" si="5"/>
        <v/>
      </c>
      <c r="P38" s="95"/>
      <c r="Q38" s="94"/>
      <c r="R38" s="171" t="str">
        <f t="shared" si="21"/>
        <v/>
      </c>
      <c r="S38" s="76" t="str">
        <f t="shared" si="7"/>
        <v/>
      </c>
      <c r="T38" s="54" t="str">
        <f>IF(E38="","",IF(F38="Reuse",0,IF(F38="Reman",(S38*0.05),IF(F38="Recycle",((1-VLOOKUP(E38,List!$B$3:$C$62,2,FALSE))*S38),IF(AND(F38="Virgin",VLOOKUP(E38,List!$B$3:$E$62,4,FALSE)="Yes"),(S38-(G38*S38)),S38)))))</f>
        <v/>
      </c>
      <c r="U38" s="54" t="str">
        <f>IF(E38="","",(S38*(1-P38))+IF(Q38="Reuse",0,IF(Q38="Reman",(S38*P38*0.05),IF(Q38="Recycle",((1-(VLOOKUP(E38,List!$B$3:$D$62,3,FALSE)))*(S38*P38)),IF(AND(Q38="Compost",VLOOKUP(E38,List!$B$3:$E$62,4,FALSE)="Yes"),0,IF(AND(Q38="Energy Recovery",VLOOKUP(E38,List!$B$3:$F$62,5,FALSE)="Yes"),((S38*P38*(1-G38))+(S38*P38*G38*0.55)),(S38*P38)))))))</f>
        <v/>
      </c>
      <c r="V38" s="54" t="str">
        <f t="shared" si="8"/>
        <v/>
      </c>
      <c r="W38" s="172" t="str">
        <f t="shared" si="22"/>
        <v/>
      </c>
      <c r="X38" s="163"/>
      <c r="Y38" s="79" t="str">
        <f t="shared" si="9"/>
        <v/>
      </c>
      <c r="AA38" s="68" t="str">
        <f t="shared" si="10"/>
        <v/>
      </c>
      <c r="AB38" s="64" t="str">
        <f t="shared" si="11"/>
        <v/>
      </c>
      <c r="AC38" s="64" t="str">
        <f t="shared" si="12"/>
        <v/>
      </c>
      <c r="AD38" s="69" t="str">
        <f t="shared" si="13"/>
        <v/>
      </c>
      <c r="AF38" s="108"/>
      <c r="AG38" s="60" t="str">
        <f t="shared" si="14"/>
        <v/>
      </c>
      <c r="AH38" s="61" t="str">
        <f t="shared" si="15"/>
        <v/>
      </c>
      <c r="AJ38" s="164" t="str">
        <f t="shared" si="0"/>
        <v/>
      </c>
      <c r="AK38" s="173" t="str">
        <f t="shared" si="1"/>
        <v/>
      </c>
      <c r="AL38" s="174" t="str">
        <f t="shared" si="2"/>
        <v/>
      </c>
      <c r="AM38" s="175" t="str">
        <f t="shared" si="3"/>
        <v/>
      </c>
      <c r="AN38" s="47" t="str">
        <f t="shared" si="16"/>
        <v/>
      </c>
      <c r="AO38" s="176" t="str">
        <f t="shared" si="4"/>
        <v/>
      </c>
      <c r="AQ38" s="177" t="str">
        <f t="shared" si="17"/>
        <v/>
      </c>
    </row>
    <row r="39" spans="2:43" x14ac:dyDescent="0.4">
      <c r="B39" s="89"/>
      <c r="C39" s="90"/>
      <c r="D39" s="91"/>
      <c r="E39" s="92"/>
      <c r="F39" s="93"/>
      <c r="G39" s="94"/>
      <c r="H39" s="95"/>
      <c r="I39" s="82"/>
      <c r="J39" s="82"/>
      <c r="K39" s="82"/>
      <c r="L39" s="82"/>
      <c r="M39" s="82"/>
      <c r="N39" s="96"/>
      <c r="O39" s="170" t="str">
        <f t="shared" si="5"/>
        <v/>
      </c>
      <c r="P39" s="95"/>
      <c r="Q39" s="94"/>
      <c r="R39" s="171" t="str">
        <f>IF(E39="","",IF(W39="","",IF((1-W39*(0.9/$O39))&lt;0,0,(1-W39*(0.9/$O39)))))</f>
        <v/>
      </c>
      <c r="S39" s="76" t="str">
        <f t="shared" si="7"/>
        <v/>
      </c>
      <c r="T39" s="54" t="str">
        <f>IF(E39="","",IF(F39="Reuse",0,IF(F39="Reman",(S39*0.05),IF(F39="Recycle",((1-VLOOKUP(E39,List!$B$3:$C$62,2,FALSE))*S39),IF(AND(F39="Virgin",VLOOKUP(E39,List!$B$3:$E$62,4,FALSE)="Yes"),(S39-(G39*S39)),S39)))))</f>
        <v/>
      </c>
      <c r="U39" s="54" t="str">
        <f>IF(E39="","",(S39*(1-P39))+IF(Q39="Reuse",0,IF(Q39="Reman",(S39*P39*0.05),IF(Q39="Recycle",((1-(VLOOKUP(E39,List!$B$3:$D$62,3,FALSE)))*(S39*P39)),IF(AND(Q39="Compost",VLOOKUP(E39,List!$B$3:$E$62,4,FALSE)="Yes"),0,IF(AND(Q39="Energy Recovery",VLOOKUP(E39,List!$B$3:$F$62,5,FALSE)="Yes"),((S39*P39*(1-G39))+(S39*P39*G39*0.55)),(S39*P39)))))))</f>
        <v/>
      </c>
      <c r="V39" s="54" t="str">
        <f t="shared" si="8"/>
        <v/>
      </c>
      <c r="W39" s="172" t="str">
        <f t="shared" si="18"/>
        <v/>
      </c>
      <c r="X39" s="163"/>
      <c r="Y39" s="79" t="str">
        <f t="shared" si="9"/>
        <v/>
      </c>
      <c r="AA39" s="68" t="str">
        <f t="shared" si="10"/>
        <v/>
      </c>
      <c r="AB39" s="64" t="str">
        <f t="shared" si="11"/>
        <v/>
      </c>
      <c r="AC39" s="64" t="str">
        <f t="shared" si="12"/>
        <v/>
      </c>
      <c r="AD39" s="69" t="str">
        <f t="shared" si="13"/>
        <v/>
      </c>
      <c r="AF39" s="108"/>
      <c r="AG39" s="60" t="str">
        <f t="shared" si="14"/>
        <v/>
      </c>
      <c r="AH39" s="61" t="str">
        <f t="shared" si="15"/>
        <v/>
      </c>
      <c r="AJ39" s="164" t="str">
        <f t="shared" si="0"/>
        <v/>
      </c>
      <c r="AK39" s="173" t="str">
        <f t="shared" si="1"/>
        <v/>
      </c>
      <c r="AL39" s="174" t="str">
        <f t="shared" si="2"/>
        <v/>
      </c>
      <c r="AM39" s="175" t="str">
        <f t="shared" si="3"/>
        <v/>
      </c>
      <c r="AN39" s="47" t="str">
        <f t="shared" si="16"/>
        <v/>
      </c>
      <c r="AO39" s="176" t="str">
        <f t="shared" si="4"/>
        <v/>
      </c>
      <c r="AQ39" s="177" t="str">
        <f t="shared" si="17"/>
        <v/>
      </c>
    </row>
    <row r="40" spans="2:43" x14ac:dyDescent="0.4">
      <c r="B40" s="89"/>
      <c r="C40" s="90"/>
      <c r="D40" s="91"/>
      <c r="E40" s="92"/>
      <c r="F40" s="93"/>
      <c r="G40" s="94"/>
      <c r="H40" s="95"/>
      <c r="I40" s="82"/>
      <c r="J40" s="82"/>
      <c r="K40" s="82"/>
      <c r="L40" s="82"/>
      <c r="M40" s="82"/>
      <c r="N40" s="96"/>
      <c r="O40" s="170" t="str">
        <f t="shared" si="5"/>
        <v/>
      </c>
      <c r="P40" s="95"/>
      <c r="Q40" s="94"/>
      <c r="R40" s="171" t="str">
        <f t="shared" si="6"/>
        <v/>
      </c>
      <c r="S40" s="76" t="str">
        <f t="shared" si="7"/>
        <v/>
      </c>
      <c r="T40" s="54" t="str">
        <f>IF(E40="","",IF(F40="Reuse",0,IF(F40="Reman",(S40*0.05),IF(F40="Recycle",((1-VLOOKUP(E40,List!$B$3:$C$62,2,FALSE))*S40),IF(AND(F40="Virgin",VLOOKUP(E40,List!$B$3:$E$62,4,FALSE)="Yes"),(S40-(G40*S40)),S40)))))</f>
        <v/>
      </c>
      <c r="U40" s="54" t="str">
        <f>IF(E40="","",(S40*(1-P40))+IF(Q40="Reuse",0,IF(Q40="Reman",(S40*P40*0.05),IF(Q40="Recycle",((1-(VLOOKUP(E40,List!$B$3:$D$62,3,FALSE)))*(S40*P40)),IF(AND(Q40="Compost",VLOOKUP(E40,List!$B$3:$E$62,4,FALSE)="Yes"),0,IF(AND(Q40="Energy Recovery",VLOOKUP(E40,List!$B$3:$F$62,5,FALSE)="Yes"),((S40*P40*(1-G40))+(S40*P40*G40*0.55)),(S40*P40)))))))</f>
        <v/>
      </c>
      <c r="V40" s="54" t="str">
        <f t="shared" si="8"/>
        <v/>
      </c>
      <c r="W40" s="172" t="str">
        <f t="shared" si="18"/>
        <v/>
      </c>
      <c r="X40" s="163"/>
      <c r="Y40" s="79" t="str">
        <f t="shared" si="9"/>
        <v/>
      </c>
      <c r="AA40" s="68" t="str">
        <f t="shared" si="10"/>
        <v/>
      </c>
      <c r="AB40" s="64" t="str">
        <f t="shared" si="11"/>
        <v/>
      </c>
      <c r="AC40" s="64" t="str">
        <f t="shared" si="12"/>
        <v/>
      </c>
      <c r="AD40" s="69" t="str">
        <f t="shared" si="13"/>
        <v/>
      </c>
      <c r="AF40" s="108"/>
      <c r="AG40" s="60" t="str">
        <f t="shared" si="14"/>
        <v/>
      </c>
      <c r="AH40" s="61" t="str">
        <f t="shared" si="15"/>
        <v/>
      </c>
      <c r="AJ40" s="164" t="str">
        <f t="shared" si="0"/>
        <v/>
      </c>
      <c r="AK40" s="173" t="str">
        <f t="shared" si="1"/>
        <v/>
      </c>
      <c r="AL40" s="174" t="str">
        <f t="shared" si="2"/>
        <v/>
      </c>
      <c r="AM40" s="175" t="str">
        <f t="shared" si="3"/>
        <v/>
      </c>
      <c r="AN40" s="47" t="str">
        <f t="shared" si="16"/>
        <v/>
      </c>
      <c r="AO40" s="176" t="str">
        <f t="shared" si="4"/>
        <v/>
      </c>
      <c r="AQ40" s="177" t="str">
        <f t="shared" si="17"/>
        <v/>
      </c>
    </row>
    <row r="41" spans="2:43" ht="19.5" thickBot="1" x14ac:dyDescent="0.45">
      <c r="B41" s="97"/>
      <c r="C41" s="98"/>
      <c r="D41" s="99"/>
      <c r="E41" s="100"/>
      <c r="F41" s="101"/>
      <c r="G41" s="102"/>
      <c r="H41" s="103"/>
      <c r="I41" s="85"/>
      <c r="J41" s="85"/>
      <c r="K41" s="85"/>
      <c r="L41" s="85"/>
      <c r="M41" s="85"/>
      <c r="N41" s="104"/>
      <c r="O41" s="178" t="str">
        <f t="shared" si="5"/>
        <v/>
      </c>
      <c r="P41" s="103"/>
      <c r="Q41" s="102"/>
      <c r="R41" s="179" t="str">
        <f t="shared" si="6"/>
        <v/>
      </c>
      <c r="S41" s="77" t="str">
        <f t="shared" si="7"/>
        <v/>
      </c>
      <c r="T41" s="55" t="str">
        <f>IF(E41="","",IF(F41="Reuse",0,IF(F41="Reman",(S41*0.05),IF(F41="Recycle",((1-VLOOKUP(E41,List!$B$3:$C$62,2,FALSE))*S41),IF(AND(F41="Virgin",VLOOKUP(E41,List!$B$3:$E$62,4,FALSE)="Yes"),(S41-(G41*S41)),S41)))))</f>
        <v/>
      </c>
      <c r="U41" s="55" t="str">
        <f>IF(E41="","",(S41*(1-P41))+IF(Q41="Reuse",0,IF(Q41="Reman",(S41*P41*0.05),IF(Q41="Recycle",((1-(VLOOKUP(E41,List!$B$3:$D$62,3,FALSE)))*(S41*P41)),IF(AND(Q41="Compost",VLOOKUP(E41,List!$B$3:$E$62,4,FALSE)="Yes"),0,IF(AND(Q41="Energy Recovery",VLOOKUP(E41,List!$B$3:$F$62,5,FALSE)="Yes"),((S41*P41*(1-G41))+(S41*P41*G41*0.55)),(S41*P41)))))))</f>
        <v/>
      </c>
      <c r="V41" s="55" t="str">
        <f t="shared" si="8"/>
        <v/>
      </c>
      <c r="W41" s="180" t="str">
        <f t="shared" si="18"/>
        <v/>
      </c>
      <c r="X41" s="163"/>
      <c r="Y41" s="80" t="str">
        <f>IF(E41="","",IF(S41=0,"",IF(((S41-(T41*(1/O41)))+(S41-(U41*(1/O41))))/(2*S41)&lt;0,0,((S41-(T41*(1/O41)))+(S41-(U41*(1/O41))))/(2*S41))))</f>
        <v/>
      </c>
      <c r="AA41" s="70" t="str">
        <f t="shared" si="10"/>
        <v/>
      </c>
      <c r="AB41" s="71" t="str">
        <f t="shared" si="11"/>
        <v/>
      </c>
      <c r="AC41" s="71" t="str">
        <f t="shared" si="12"/>
        <v/>
      </c>
      <c r="AD41" s="72" t="str">
        <f t="shared" si="13"/>
        <v/>
      </c>
      <c r="AF41" s="109"/>
      <c r="AG41" s="62" t="str">
        <f t="shared" si="14"/>
        <v/>
      </c>
      <c r="AH41" s="63" t="str">
        <f t="shared" si="15"/>
        <v/>
      </c>
      <c r="AJ41" s="164" t="str">
        <f t="shared" si="0"/>
        <v/>
      </c>
      <c r="AK41" s="181" t="str">
        <f t="shared" si="1"/>
        <v/>
      </c>
      <c r="AL41" s="182" t="str">
        <f t="shared" si="2"/>
        <v/>
      </c>
      <c r="AM41" s="183" t="str">
        <f t="shared" si="3"/>
        <v/>
      </c>
      <c r="AN41" s="49" t="str">
        <f t="shared" si="16"/>
        <v/>
      </c>
      <c r="AO41" s="184" t="str">
        <f t="shared" si="4"/>
        <v/>
      </c>
      <c r="AQ41" s="177" t="str">
        <f t="shared" si="17"/>
        <v/>
      </c>
    </row>
    <row r="42" spans="2:43" ht="19.5" thickBot="1" x14ac:dyDescent="0.45">
      <c r="B42" s="185" t="s">
        <v>273</v>
      </c>
      <c r="C42" s="326">
        <f>SUM(S12:S41)</f>
        <v>84000</v>
      </c>
      <c r="D42" s="327"/>
      <c r="O42" s="186"/>
      <c r="P42" s="186"/>
      <c r="Q42" s="186"/>
      <c r="R42" s="187">
        <f>IF(Y42="","",(0.9*Y42)+0.1)</f>
        <v>0.61030803571428571</v>
      </c>
      <c r="S42" s="56">
        <f>SUM(S12:S41)</f>
        <v>84000</v>
      </c>
      <c r="T42" s="56">
        <f>SUM(T12:T41)</f>
        <v>54350</v>
      </c>
      <c r="U42" s="56">
        <f>SUM(U12:U41)</f>
        <v>25555</v>
      </c>
      <c r="V42" s="57">
        <f>SUM(V12:V41)</f>
        <v>3581.2499999999986</v>
      </c>
      <c r="W42" s="163"/>
      <c r="X42" s="163"/>
      <c r="Y42" s="73">
        <f>IF(SUM(AA42:AC42)=0,0,SUM(AA42:AC42))</f>
        <v>0.56700892857142859</v>
      </c>
      <c r="AA42" s="73">
        <f>IF(SUM(S12:S41)=0,"",(1-(SUM(T12:T41)/SUM(S12:S41)))/2)</f>
        <v>0.17648809523809522</v>
      </c>
      <c r="AB42" s="73">
        <f>IF(SUM(S12:S41)=0,"",(1-(SUM(U12:U41)/SUM(S12:S41)))/2)</f>
        <v>0.34788690476190476</v>
      </c>
      <c r="AC42" s="73">
        <f>IF(SUM(S12:S41)=0,"",((SUM(V12:V41)/SUM(S12:S41))))</f>
        <v>4.2633928571428552E-2</v>
      </c>
      <c r="AD42" s="74">
        <f t="shared" ref="AD42" si="23">IF(Y42="","",1-SUM(AA42:AC42))</f>
        <v>0.43299107142857141</v>
      </c>
      <c r="AF42" s="188" t="s">
        <v>187</v>
      </c>
      <c r="AG42" s="189">
        <f>SUM(AG12:AG41)</f>
        <v>47628.75</v>
      </c>
      <c r="AH42" s="189">
        <f>SUM(AH12:AH41)</f>
        <v>-36371.25</v>
      </c>
      <c r="AI42" s="190"/>
      <c r="AJ42" s="190">
        <f>SUM(AJ12:AJ41)</f>
        <v>29650</v>
      </c>
      <c r="AK42" s="191">
        <f>SUM(AJ12:AJ41)/C42</f>
        <v>0.3529761904761905</v>
      </c>
      <c r="AL42" s="192">
        <f>SUM(AL12:AL41)</f>
        <v>58445</v>
      </c>
      <c r="AM42" s="191">
        <f>SUM(AL12:AL41)/C42</f>
        <v>0.69577380952380952</v>
      </c>
      <c r="AN42" s="50">
        <f>IF(OR(AK42="",AM42=""),"",AVERAGE(AK42,AM42))</f>
        <v>0.52437500000000004</v>
      </c>
      <c r="AO42" s="193">
        <f>MIN(AO12:AO41)</f>
        <v>1</v>
      </c>
      <c r="AQ42" s="194">
        <f t="shared" si="17"/>
        <v>0.52437500000000004</v>
      </c>
    </row>
    <row r="43" spans="2:43" x14ac:dyDescent="0.4">
      <c r="F43" s="264"/>
      <c r="G43" s="265"/>
      <c r="P43" s="265"/>
      <c r="R43" s="195"/>
      <c r="T43" s="51"/>
      <c r="U43" s="51"/>
      <c r="V43" s="51"/>
      <c r="Y43" s="196">
        <f>1-Y42</f>
        <v>0.43299107142857141</v>
      </c>
    </row>
    <row r="44" spans="2:43" ht="30" customHeight="1" x14ac:dyDescent="0.4">
      <c r="G44" s="265"/>
      <c r="R44" s="195"/>
      <c r="Y44" s="196"/>
    </row>
    <row r="45" spans="2:43" ht="30" customHeight="1" x14ac:dyDescent="0.4">
      <c r="R45" s="195"/>
      <c r="Y45" s="196"/>
    </row>
    <row r="46" spans="2:43" ht="30" customHeight="1" x14ac:dyDescent="0.4">
      <c r="R46" s="195"/>
      <c r="Y46" s="196"/>
    </row>
    <row r="47" spans="2:43" ht="30" customHeight="1" x14ac:dyDescent="0.4">
      <c r="R47" s="195"/>
      <c r="Y47" s="196"/>
    </row>
    <row r="48" spans="2:43" ht="30" customHeight="1" x14ac:dyDescent="0.4">
      <c r="R48" s="195"/>
      <c r="Y48" s="196"/>
    </row>
    <row r="49" spans="18:25" ht="30" customHeight="1" x14ac:dyDescent="0.4">
      <c r="R49" s="195"/>
      <c r="Y49" s="196"/>
    </row>
    <row r="50" spans="18:25" ht="30" customHeight="1" x14ac:dyDescent="0.4">
      <c r="R50" s="195"/>
      <c r="Y50" s="196"/>
    </row>
    <row r="51" spans="18:25" ht="30" customHeight="1" x14ac:dyDescent="0.4">
      <c r="R51" s="195"/>
      <c r="Y51" s="196"/>
    </row>
    <row r="52" spans="18:25" ht="30" customHeight="1" x14ac:dyDescent="0.4">
      <c r="R52" s="195"/>
      <c r="Y52" s="196"/>
    </row>
    <row r="53" spans="18:25" ht="30" customHeight="1" x14ac:dyDescent="0.4">
      <c r="R53" s="195"/>
      <c r="Y53" s="196"/>
    </row>
    <row r="54" spans="18:25" ht="30" customHeight="1" x14ac:dyDescent="0.4">
      <c r="R54" s="195"/>
      <c r="Y54" s="196"/>
    </row>
    <row r="55" spans="18:25" ht="30" customHeight="1" x14ac:dyDescent="0.4">
      <c r="R55" s="195"/>
      <c r="Y55" s="196"/>
    </row>
    <row r="56" spans="18:25" ht="30" customHeight="1" x14ac:dyDescent="0.4">
      <c r="R56" s="195"/>
      <c r="Y56" s="196"/>
    </row>
    <row r="57" spans="18:25" ht="30" customHeight="1" x14ac:dyDescent="0.4">
      <c r="R57" s="195"/>
      <c r="Y57" s="196"/>
    </row>
    <row r="58" spans="18:25" ht="30" customHeight="1" x14ac:dyDescent="0.4">
      <c r="R58" s="195"/>
      <c r="Y58" s="196"/>
    </row>
    <row r="59" spans="18:25" ht="30" customHeight="1" x14ac:dyDescent="0.4">
      <c r="R59" s="195"/>
      <c r="Y59" s="196"/>
    </row>
    <row r="60" spans="18:25" ht="30" customHeight="1" x14ac:dyDescent="0.4">
      <c r="R60" s="195"/>
      <c r="Y60" s="196"/>
    </row>
    <row r="61" spans="18:25" ht="30" customHeight="1" x14ac:dyDescent="0.4">
      <c r="R61" s="195"/>
      <c r="Y61" s="196"/>
    </row>
    <row r="62" spans="18:25" ht="30" customHeight="1" x14ac:dyDescent="0.4">
      <c r="R62" s="195"/>
      <c r="Y62" s="196"/>
    </row>
    <row r="63" spans="18:25" ht="30" customHeight="1" x14ac:dyDescent="0.4">
      <c r="R63" s="195"/>
      <c r="Y63" s="196"/>
    </row>
    <row r="64" spans="18:25" ht="30" customHeight="1" x14ac:dyDescent="0.4">
      <c r="R64" s="195"/>
      <c r="Y64" s="196"/>
    </row>
    <row r="65" spans="2:16" ht="30" customHeight="1" x14ac:dyDescent="0.4"/>
    <row r="66" spans="2:16" ht="30" customHeight="1" x14ac:dyDescent="0.4">
      <c r="L66" s="197"/>
      <c r="M66" s="197"/>
      <c r="N66" s="197"/>
      <c r="O66" s="197"/>
      <c r="P66" s="140"/>
    </row>
    <row r="68" spans="2:16" ht="19.5" thickBot="1" x14ac:dyDescent="0.45"/>
    <row r="69" spans="2:16" x14ac:dyDescent="0.4">
      <c r="B69" s="304" t="s">
        <v>4</v>
      </c>
      <c r="C69" s="302" t="s">
        <v>30</v>
      </c>
      <c r="D69" s="303"/>
      <c r="E69" s="302" t="s">
        <v>119</v>
      </c>
      <c r="F69" s="303"/>
      <c r="G69" s="302" t="s">
        <v>40</v>
      </c>
      <c r="H69" s="303"/>
      <c r="I69" s="302" t="s">
        <v>41</v>
      </c>
      <c r="J69" s="303"/>
      <c r="K69" s="197"/>
      <c r="L69" s="284" t="s">
        <v>283</v>
      </c>
      <c r="M69" s="285"/>
      <c r="N69" s="285"/>
      <c r="O69" s="285"/>
      <c r="P69" s="286"/>
    </row>
    <row r="70" spans="2:16" ht="19.5" customHeight="1" thickBot="1" x14ac:dyDescent="0.45">
      <c r="B70" s="305"/>
      <c r="C70" s="198" t="s">
        <v>25</v>
      </c>
      <c r="D70" s="199" t="s">
        <v>26</v>
      </c>
      <c r="E70" s="198" t="s">
        <v>25</v>
      </c>
      <c r="F70" s="199" t="s">
        <v>26</v>
      </c>
      <c r="G70" s="198" t="s">
        <v>25</v>
      </c>
      <c r="H70" s="199" t="s">
        <v>26</v>
      </c>
      <c r="I70" s="198" t="s">
        <v>25</v>
      </c>
      <c r="J70" s="199" t="s">
        <v>26</v>
      </c>
      <c r="K70" s="200"/>
      <c r="L70" s="287"/>
      <c r="M70" s="288"/>
      <c r="N70" s="288"/>
      <c r="O70" s="288"/>
      <c r="P70" s="289"/>
    </row>
    <row r="71" spans="2:16" x14ac:dyDescent="0.4">
      <c r="B71" s="201" t="s">
        <v>94</v>
      </c>
      <c r="C71" s="115">
        <v>0.05</v>
      </c>
      <c r="D71" s="116"/>
      <c r="E71" s="115">
        <v>0.05</v>
      </c>
      <c r="F71" s="116"/>
      <c r="G71" s="122">
        <v>3.2</v>
      </c>
      <c r="H71" s="123"/>
      <c r="I71" s="368">
        <v>1.2</v>
      </c>
      <c r="J71" s="81"/>
      <c r="K71" s="52"/>
      <c r="L71" s="287"/>
      <c r="M71" s="288"/>
      <c r="N71" s="288"/>
      <c r="O71" s="288"/>
      <c r="P71" s="289"/>
    </row>
    <row r="72" spans="2:16" x14ac:dyDescent="0.4">
      <c r="B72" s="202" t="s">
        <v>105</v>
      </c>
      <c r="C72" s="117">
        <v>0</v>
      </c>
      <c r="D72" s="118"/>
      <c r="E72" s="117">
        <v>0</v>
      </c>
      <c r="F72" s="118"/>
      <c r="G72" s="203">
        <v>3.2</v>
      </c>
      <c r="H72" s="124"/>
      <c r="I72" s="369">
        <v>4</v>
      </c>
      <c r="J72" s="83"/>
      <c r="K72" s="204"/>
      <c r="L72" s="287"/>
      <c r="M72" s="288"/>
      <c r="N72" s="288"/>
      <c r="O72" s="288"/>
      <c r="P72" s="289"/>
    </row>
    <row r="73" spans="2:16" x14ac:dyDescent="0.4">
      <c r="B73" s="202" t="s">
        <v>87</v>
      </c>
      <c r="C73" s="119">
        <v>0</v>
      </c>
      <c r="D73" s="118"/>
      <c r="E73" s="119">
        <v>0</v>
      </c>
      <c r="F73" s="118"/>
      <c r="G73" s="205">
        <v>3.1</v>
      </c>
      <c r="H73" s="125"/>
      <c r="I73" s="370">
        <v>1.3</v>
      </c>
      <c r="J73" s="83"/>
      <c r="K73" s="206"/>
      <c r="L73" s="287"/>
      <c r="M73" s="288"/>
      <c r="N73" s="288"/>
      <c r="O73" s="288"/>
      <c r="P73" s="289"/>
    </row>
    <row r="74" spans="2:16" x14ac:dyDescent="0.4">
      <c r="B74" s="202" t="s">
        <v>84</v>
      </c>
      <c r="C74" s="119">
        <v>0.1</v>
      </c>
      <c r="D74" s="118"/>
      <c r="E74" s="119">
        <v>0.2</v>
      </c>
      <c r="F74" s="118"/>
      <c r="G74" s="205">
        <v>1.9000000000000001</v>
      </c>
      <c r="H74" s="125"/>
      <c r="I74" s="370">
        <v>1.2</v>
      </c>
      <c r="J74" s="83"/>
      <c r="K74" s="206"/>
      <c r="L74" s="287"/>
      <c r="M74" s="288"/>
      <c r="N74" s="288"/>
      <c r="O74" s="288"/>
      <c r="P74" s="289"/>
    </row>
    <row r="75" spans="2:16" x14ac:dyDescent="0.4">
      <c r="B75" s="202" t="s">
        <v>92</v>
      </c>
      <c r="C75" s="119">
        <v>0.01</v>
      </c>
      <c r="D75" s="118"/>
      <c r="E75" s="119">
        <v>0.05</v>
      </c>
      <c r="F75" s="118"/>
      <c r="G75" s="205">
        <v>2.1</v>
      </c>
      <c r="H75" s="125"/>
      <c r="I75" s="370">
        <v>1</v>
      </c>
      <c r="J75" s="83"/>
      <c r="K75" s="206"/>
      <c r="L75" s="287"/>
      <c r="M75" s="288"/>
      <c r="N75" s="288"/>
      <c r="O75" s="288"/>
      <c r="P75" s="289"/>
    </row>
    <row r="76" spans="2:16" x14ac:dyDescent="0.4">
      <c r="B76" s="202" t="s">
        <v>88</v>
      </c>
      <c r="C76" s="119">
        <v>0.05</v>
      </c>
      <c r="D76" s="118"/>
      <c r="E76" s="119">
        <v>0.05</v>
      </c>
      <c r="F76" s="118"/>
      <c r="G76" s="205">
        <v>7.2</v>
      </c>
      <c r="H76" s="125"/>
      <c r="I76" s="370">
        <v>3.5</v>
      </c>
      <c r="J76" s="83"/>
      <c r="K76" s="206"/>
      <c r="L76" s="287"/>
      <c r="M76" s="288"/>
      <c r="N76" s="288"/>
      <c r="O76" s="288"/>
      <c r="P76" s="289"/>
    </row>
    <row r="77" spans="2:16" x14ac:dyDescent="0.4">
      <c r="B77" s="202" t="s">
        <v>82</v>
      </c>
      <c r="C77" s="119">
        <v>0.15</v>
      </c>
      <c r="D77" s="118"/>
      <c r="E77" s="119">
        <v>0.25</v>
      </c>
      <c r="F77" s="118"/>
      <c r="G77" s="205">
        <v>2.5</v>
      </c>
      <c r="H77" s="125"/>
      <c r="I77" s="370">
        <v>1.3</v>
      </c>
      <c r="J77" s="83"/>
      <c r="K77" s="206"/>
      <c r="L77" s="290"/>
      <c r="M77" s="291"/>
      <c r="N77" s="291"/>
      <c r="O77" s="291"/>
      <c r="P77" s="292"/>
    </row>
    <row r="78" spans="2:16" ht="19.5" thickBot="1" x14ac:dyDescent="0.45">
      <c r="B78" s="202" t="s">
        <v>83</v>
      </c>
      <c r="C78" s="119">
        <v>0.15</v>
      </c>
      <c r="D78" s="118"/>
      <c r="E78" s="119">
        <v>0.05</v>
      </c>
      <c r="F78" s="118"/>
      <c r="G78" s="205">
        <v>2.5</v>
      </c>
      <c r="H78" s="125"/>
      <c r="I78" s="370">
        <v>1.1000000000000001</v>
      </c>
      <c r="J78" s="83"/>
      <c r="K78" s="206"/>
      <c r="L78" s="293"/>
      <c r="M78" s="294"/>
      <c r="N78" s="294"/>
      <c r="O78" s="294"/>
      <c r="P78" s="295"/>
    </row>
    <row r="79" spans="2:16" x14ac:dyDescent="0.4">
      <c r="B79" s="202" t="s">
        <v>95</v>
      </c>
      <c r="C79" s="119">
        <v>0</v>
      </c>
      <c r="D79" s="118"/>
      <c r="E79" s="119">
        <v>0.05</v>
      </c>
      <c r="F79" s="118"/>
      <c r="G79" s="205">
        <v>4.3</v>
      </c>
      <c r="H79" s="125"/>
      <c r="I79" s="370">
        <v>3</v>
      </c>
      <c r="J79" s="83"/>
      <c r="K79" s="206"/>
    </row>
    <row r="80" spans="2:16" x14ac:dyDescent="0.4">
      <c r="B80" s="202" t="s">
        <v>85</v>
      </c>
      <c r="C80" s="119">
        <v>0.05</v>
      </c>
      <c r="D80" s="118"/>
      <c r="E80" s="117">
        <v>0.1</v>
      </c>
      <c r="F80" s="118"/>
      <c r="G80" s="203">
        <v>2.1</v>
      </c>
      <c r="H80" s="124"/>
      <c r="I80" s="371">
        <v>1.2</v>
      </c>
      <c r="J80" s="84"/>
    </row>
    <row r="81" spans="2:10" x14ac:dyDescent="0.4">
      <c r="B81" s="202" t="s">
        <v>86</v>
      </c>
      <c r="C81" s="119">
        <v>0</v>
      </c>
      <c r="D81" s="118"/>
      <c r="E81" s="117">
        <v>0.05</v>
      </c>
      <c r="F81" s="118"/>
      <c r="G81" s="203">
        <v>2.6</v>
      </c>
      <c r="H81" s="124"/>
      <c r="I81" s="371">
        <v>1.2</v>
      </c>
      <c r="J81" s="84"/>
    </row>
    <row r="82" spans="2:10" x14ac:dyDescent="0.4">
      <c r="B82" s="202" t="s">
        <v>93</v>
      </c>
      <c r="C82" s="119">
        <v>0</v>
      </c>
      <c r="D82" s="118"/>
      <c r="E82" s="117">
        <v>0.05</v>
      </c>
      <c r="F82" s="118"/>
      <c r="G82" s="203">
        <v>2.9000000000000004</v>
      </c>
      <c r="H82" s="124"/>
      <c r="I82" s="371">
        <v>1</v>
      </c>
      <c r="J82" s="84"/>
    </row>
    <row r="83" spans="2:10" x14ac:dyDescent="0.4">
      <c r="B83" s="202" t="s">
        <v>101</v>
      </c>
      <c r="C83" s="119">
        <v>0</v>
      </c>
      <c r="D83" s="118"/>
      <c r="E83" s="117">
        <v>0</v>
      </c>
      <c r="F83" s="118"/>
      <c r="G83" s="203">
        <v>7.4</v>
      </c>
      <c r="H83" s="124"/>
      <c r="I83" s="371">
        <v>6</v>
      </c>
      <c r="J83" s="84"/>
    </row>
    <row r="84" spans="2:10" x14ac:dyDescent="0.4">
      <c r="B84" s="202" t="s">
        <v>29</v>
      </c>
      <c r="C84" s="119">
        <v>0.35</v>
      </c>
      <c r="D84" s="118"/>
      <c r="E84" s="117">
        <v>0.8</v>
      </c>
      <c r="F84" s="118"/>
      <c r="G84" s="203">
        <v>1.8</v>
      </c>
      <c r="H84" s="124"/>
      <c r="I84" s="371">
        <v>0.44</v>
      </c>
      <c r="J84" s="84"/>
    </row>
    <row r="85" spans="2:10" x14ac:dyDescent="0.4">
      <c r="B85" s="202" t="s">
        <v>28</v>
      </c>
      <c r="C85" s="119">
        <v>0.36</v>
      </c>
      <c r="D85" s="118"/>
      <c r="E85" s="117">
        <v>0.8</v>
      </c>
      <c r="F85" s="118"/>
      <c r="G85" s="203">
        <v>10</v>
      </c>
      <c r="H85" s="124"/>
      <c r="I85" s="371">
        <v>2.2999999999999998</v>
      </c>
      <c r="J85" s="84"/>
    </row>
    <row r="86" spans="2:10" x14ac:dyDescent="0.4">
      <c r="B86" s="202" t="s">
        <v>99</v>
      </c>
      <c r="C86" s="119">
        <v>0.8</v>
      </c>
      <c r="D86" s="118"/>
      <c r="E86" s="117">
        <v>0.9</v>
      </c>
      <c r="F86" s="118"/>
      <c r="G86" s="203">
        <v>1.2000000000000002</v>
      </c>
      <c r="H86" s="124"/>
      <c r="I86" s="371">
        <v>8.42</v>
      </c>
      <c r="J86" s="84"/>
    </row>
    <row r="87" spans="2:10" x14ac:dyDescent="0.4">
      <c r="B87" s="202" t="s">
        <v>98</v>
      </c>
      <c r="C87" s="119">
        <v>0.32</v>
      </c>
      <c r="D87" s="118"/>
      <c r="E87" s="117">
        <v>0.6</v>
      </c>
      <c r="F87" s="118"/>
      <c r="G87" s="203">
        <v>4.0999999999999996</v>
      </c>
      <c r="H87" s="124"/>
      <c r="I87" s="371">
        <v>8.9600000000000009</v>
      </c>
      <c r="J87" s="84"/>
    </row>
    <row r="88" spans="2:10" x14ac:dyDescent="0.4">
      <c r="B88" s="202" t="s">
        <v>100</v>
      </c>
      <c r="C88" s="119">
        <v>0.6</v>
      </c>
      <c r="D88" s="118"/>
      <c r="E88" s="117">
        <v>0.6</v>
      </c>
      <c r="F88" s="118"/>
      <c r="G88" s="203">
        <v>1.3</v>
      </c>
      <c r="H88" s="124"/>
      <c r="I88" s="371">
        <v>2.0499999999999998</v>
      </c>
      <c r="J88" s="84"/>
    </row>
    <row r="89" spans="2:10" x14ac:dyDescent="0.4">
      <c r="B89" s="202" t="s">
        <v>102</v>
      </c>
      <c r="C89" s="117">
        <v>0.35</v>
      </c>
      <c r="D89" s="118"/>
      <c r="E89" s="117">
        <v>0.60000000000000009</v>
      </c>
      <c r="F89" s="118"/>
      <c r="G89" s="203">
        <v>10</v>
      </c>
      <c r="H89" s="124"/>
      <c r="I89" s="371">
        <v>15.88</v>
      </c>
      <c r="J89" s="84"/>
    </row>
    <row r="90" spans="2:10" x14ac:dyDescent="0.4">
      <c r="B90" s="202" t="s">
        <v>103</v>
      </c>
      <c r="C90" s="117">
        <v>0.01</v>
      </c>
      <c r="D90" s="118"/>
      <c r="E90" s="117">
        <v>0.01</v>
      </c>
      <c r="F90" s="118"/>
      <c r="G90" s="203">
        <v>50</v>
      </c>
      <c r="H90" s="124"/>
      <c r="I90" s="371">
        <v>150</v>
      </c>
      <c r="J90" s="84"/>
    </row>
    <row r="91" spans="2:10" x14ac:dyDescent="0.4">
      <c r="B91" s="202" t="s">
        <v>91</v>
      </c>
      <c r="C91" s="117">
        <v>0.2</v>
      </c>
      <c r="D91" s="118"/>
      <c r="E91" s="117">
        <v>0.6</v>
      </c>
      <c r="F91" s="118"/>
      <c r="G91" s="203">
        <v>2.7</v>
      </c>
      <c r="H91" s="124"/>
      <c r="I91" s="371">
        <v>2.68</v>
      </c>
      <c r="J91" s="84"/>
    </row>
    <row r="92" spans="2:10" x14ac:dyDescent="0.4">
      <c r="B92" s="202" t="s">
        <v>89</v>
      </c>
      <c r="C92" s="117">
        <v>0.5</v>
      </c>
      <c r="D92" s="118"/>
      <c r="E92" s="117">
        <v>0.5</v>
      </c>
      <c r="F92" s="118"/>
      <c r="G92" s="203">
        <v>1.7000000000000002</v>
      </c>
      <c r="H92" s="124"/>
      <c r="I92" s="371">
        <v>1.05</v>
      </c>
      <c r="J92" s="84"/>
    </row>
    <row r="93" spans="2:10" x14ac:dyDescent="0.4">
      <c r="B93" s="202" t="s">
        <v>90</v>
      </c>
      <c r="C93" s="117">
        <v>0.5</v>
      </c>
      <c r="D93" s="118"/>
      <c r="E93" s="117">
        <v>0.8</v>
      </c>
      <c r="F93" s="118"/>
      <c r="G93" s="203">
        <v>1.7000000000000002</v>
      </c>
      <c r="H93" s="124"/>
      <c r="I93" s="371">
        <v>0.36</v>
      </c>
      <c r="J93" s="84"/>
    </row>
    <row r="94" spans="2:10" x14ac:dyDescent="0.4">
      <c r="B94" s="202" t="s">
        <v>108</v>
      </c>
      <c r="C94" s="117">
        <v>0</v>
      </c>
      <c r="D94" s="118"/>
      <c r="E94" s="117">
        <v>0</v>
      </c>
      <c r="F94" s="118"/>
      <c r="G94" s="203">
        <v>1.3</v>
      </c>
      <c r="H94" s="124"/>
      <c r="I94" s="371">
        <v>0.7</v>
      </c>
      <c r="J94" s="84"/>
    </row>
    <row r="95" spans="2:10" x14ac:dyDescent="0.4">
      <c r="B95" s="202" t="s">
        <v>107</v>
      </c>
      <c r="C95" s="117">
        <v>0</v>
      </c>
      <c r="D95" s="118"/>
      <c r="E95" s="117">
        <v>0.1</v>
      </c>
      <c r="F95" s="118"/>
      <c r="G95" s="203">
        <v>0.30000000000000004</v>
      </c>
      <c r="H95" s="124"/>
      <c r="I95" s="371">
        <v>3.5</v>
      </c>
      <c r="J95" s="84"/>
    </row>
    <row r="96" spans="2:10" x14ac:dyDescent="0.4">
      <c r="B96" s="202" t="s">
        <v>106</v>
      </c>
      <c r="C96" s="117">
        <v>0.1</v>
      </c>
      <c r="D96" s="118"/>
      <c r="E96" s="117">
        <v>0.9</v>
      </c>
      <c r="F96" s="118"/>
      <c r="G96" s="203">
        <v>0.08</v>
      </c>
      <c r="H96" s="124"/>
      <c r="I96" s="371">
        <v>0.2</v>
      </c>
      <c r="J96" s="84"/>
    </row>
    <row r="97" spans="2:10" x14ac:dyDescent="0.4">
      <c r="B97" s="202" t="s">
        <v>104</v>
      </c>
      <c r="C97" s="117">
        <v>0</v>
      </c>
      <c r="D97" s="118"/>
      <c r="E97" s="117">
        <v>0.02</v>
      </c>
      <c r="F97" s="118"/>
      <c r="G97" s="203">
        <v>1.6</v>
      </c>
      <c r="H97" s="124"/>
      <c r="I97" s="371">
        <v>2</v>
      </c>
      <c r="J97" s="84"/>
    </row>
    <row r="98" spans="2:10" x14ac:dyDescent="0.4">
      <c r="B98" s="202" t="s">
        <v>31</v>
      </c>
      <c r="C98" s="117">
        <v>0.01</v>
      </c>
      <c r="D98" s="118"/>
      <c r="E98" s="117">
        <v>0.1</v>
      </c>
      <c r="F98" s="118"/>
      <c r="G98" s="203">
        <v>0.1</v>
      </c>
      <c r="H98" s="124"/>
      <c r="I98" s="371">
        <v>0.14000000000000001</v>
      </c>
      <c r="J98" s="84"/>
    </row>
    <row r="99" spans="2:10" x14ac:dyDescent="0.4">
      <c r="B99" s="202" t="s">
        <v>27</v>
      </c>
      <c r="C99" s="117">
        <v>0.2</v>
      </c>
      <c r="D99" s="118"/>
      <c r="E99" s="117">
        <v>0.25</v>
      </c>
      <c r="F99" s="118"/>
      <c r="G99" s="203">
        <v>1.1000000000000001</v>
      </c>
      <c r="H99" s="124"/>
      <c r="I99" s="371">
        <v>1.2</v>
      </c>
      <c r="J99" s="84"/>
    </row>
    <row r="100" spans="2:10" x14ac:dyDescent="0.4">
      <c r="B100" s="202" t="s">
        <v>115</v>
      </c>
      <c r="C100" s="117">
        <v>0.05</v>
      </c>
      <c r="D100" s="118"/>
      <c r="E100" s="117">
        <v>0.5</v>
      </c>
      <c r="F100" s="118"/>
      <c r="G100" s="203">
        <v>0.4</v>
      </c>
      <c r="H100" s="124"/>
      <c r="I100" s="371">
        <v>0.4</v>
      </c>
      <c r="J100" s="84"/>
    </row>
    <row r="101" spans="2:10" x14ac:dyDescent="0.4">
      <c r="B101" s="202" t="s">
        <v>97</v>
      </c>
      <c r="C101" s="117">
        <v>0</v>
      </c>
      <c r="D101" s="118"/>
      <c r="E101" s="117">
        <v>0</v>
      </c>
      <c r="F101" s="118"/>
      <c r="G101" s="203">
        <v>32</v>
      </c>
      <c r="H101" s="124"/>
      <c r="I101" s="371">
        <v>50</v>
      </c>
      <c r="J101" s="84"/>
    </row>
    <row r="102" spans="2:10" x14ac:dyDescent="0.4">
      <c r="B102" s="202" t="s">
        <v>18</v>
      </c>
      <c r="C102" s="117">
        <v>0</v>
      </c>
      <c r="D102" s="118"/>
      <c r="E102" s="117">
        <v>0</v>
      </c>
      <c r="F102" s="118"/>
      <c r="G102" s="203">
        <v>6.5</v>
      </c>
      <c r="H102" s="124"/>
      <c r="I102" s="371">
        <v>2</v>
      </c>
      <c r="J102" s="84"/>
    </row>
    <row r="103" spans="2:10" x14ac:dyDescent="0.4">
      <c r="B103" s="202" t="s">
        <v>96</v>
      </c>
      <c r="C103" s="117">
        <v>0.1</v>
      </c>
      <c r="D103" s="118"/>
      <c r="E103" s="117">
        <v>0</v>
      </c>
      <c r="F103" s="118"/>
      <c r="G103" s="203">
        <v>3.6</v>
      </c>
      <c r="H103" s="124"/>
      <c r="I103" s="371">
        <v>3.5</v>
      </c>
      <c r="J103" s="84"/>
    </row>
    <row r="104" spans="2:10" x14ac:dyDescent="0.4">
      <c r="B104" s="202" t="s">
        <v>110</v>
      </c>
      <c r="C104" s="117">
        <v>0.01</v>
      </c>
      <c r="D104" s="118"/>
      <c r="E104" s="117">
        <v>0.05</v>
      </c>
      <c r="F104" s="118"/>
      <c r="G104" s="203">
        <v>4.9000000000000004</v>
      </c>
      <c r="H104" s="124"/>
      <c r="I104" s="371">
        <v>1.48</v>
      </c>
      <c r="J104" s="84"/>
    </row>
    <row r="105" spans="2:10" x14ac:dyDescent="0.4">
      <c r="B105" s="202" t="s">
        <v>114</v>
      </c>
      <c r="C105" s="117">
        <v>0</v>
      </c>
      <c r="D105" s="118"/>
      <c r="E105" s="117">
        <v>0</v>
      </c>
      <c r="F105" s="118"/>
      <c r="G105" s="203">
        <v>20</v>
      </c>
      <c r="H105" s="124"/>
      <c r="I105" s="371">
        <v>50</v>
      </c>
      <c r="J105" s="84"/>
    </row>
    <row r="106" spans="2:10" x14ac:dyDescent="0.4">
      <c r="B106" s="202" t="s">
        <v>111</v>
      </c>
      <c r="C106" s="117">
        <v>0.01</v>
      </c>
      <c r="D106" s="118"/>
      <c r="E106" s="117">
        <v>0.05</v>
      </c>
      <c r="F106" s="118"/>
      <c r="G106" s="203">
        <v>4.9000000000000004</v>
      </c>
      <c r="H106" s="124"/>
      <c r="I106" s="371">
        <v>30</v>
      </c>
      <c r="J106" s="84"/>
    </row>
    <row r="107" spans="2:10" x14ac:dyDescent="0.4">
      <c r="B107" s="202" t="s">
        <v>113</v>
      </c>
      <c r="C107" s="117">
        <v>0.15</v>
      </c>
      <c r="D107" s="118"/>
      <c r="E107" s="117">
        <v>0.05</v>
      </c>
      <c r="F107" s="118"/>
      <c r="G107" s="203">
        <v>4.5</v>
      </c>
      <c r="H107" s="124"/>
      <c r="I107" s="371">
        <v>4</v>
      </c>
      <c r="J107" s="84"/>
    </row>
    <row r="108" spans="2:10" x14ac:dyDescent="0.4">
      <c r="B108" s="202" t="s">
        <v>112</v>
      </c>
      <c r="C108" s="117">
        <v>0</v>
      </c>
      <c r="D108" s="118"/>
      <c r="E108" s="117">
        <v>0.05</v>
      </c>
      <c r="F108" s="118"/>
      <c r="G108" s="203">
        <v>25</v>
      </c>
      <c r="H108" s="124"/>
      <c r="I108" s="371">
        <v>9.44</v>
      </c>
      <c r="J108" s="84"/>
    </row>
    <row r="109" spans="2:10" x14ac:dyDescent="0.4">
      <c r="B109" s="202" t="s">
        <v>288</v>
      </c>
      <c r="C109" s="117">
        <v>0</v>
      </c>
      <c r="D109" s="118"/>
      <c r="E109" s="117">
        <v>0.05</v>
      </c>
      <c r="F109" s="118"/>
      <c r="G109" s="203">
        <v>200</v>
      </c>
      <c r="H109" s="124"/>
      <c r="I109" s="371">
        <v>300</v>
      </c>
      <c r="J109" s="84"/>
    </row>
    <row r="110" spans="2:10" x14ac:dyDescent="0.4">
      <c r="B110" s="202" t="s">
        <v>139</v>
      </c>
      <c r="C110" s="117">
        <v>0</v>
      </c>
      <c r="D110" s="118"/>
      <c r="E110" s="117">
        <v>0.05</v>
      </c>
      <c r="F110" s="118"/>
      <c r="G110" s="203">
        <v>60</v>
      </c>
      <c r="H110" s="124"/>
      <c r="I110" s="371">
        <v>20</v>
      </c>
      <c r="J110" s="84"/>
    </row>
    <row r="111" spans="2:10" x14ac:dyDescent="0.4">
      <c r="B111" s="202" t="s">
        <v>116</v>
      </c>
      <c r="C111" s="117">
        <v>0.05</v>
      </c>
      <c r="D111" s="118"/>
      <c r="E111" s="117">
        <v>0.05</v>
      </c>
      <c r="F111" s="118"/>
      <c r="G111" s="203">
        <v>20</v>
      </c>
      <c r="H111" s="124"/>
      <c r="I111" s="371">
        <v>200</v>
      </c>
      <c r="J111" s="84"/>
    </row>
    <row r="112" spans="2:10" x14ac:dyDescent="0.4">
      <c r="B112" s="202" t="s">
        <v>109</v>
      </c>
      <c r="C112" s="117">
        <v>0</v>
      </c>
      <c r="D112" s="118"/>
      <c r="E112" s="117">
        <v>0.1</v>
      </c>
      <c r="F112" s="118"/>
      <c r="G112" s="203">
        <v>3.1</v>
      </c>
      <c r="H112" s="124"/>
      <c r="I112" s="371">
        <v>2.5</v>
      </c>
      <c r="J112" s="84"/>
    </row>
    <row r="113" spans="2:10" x14ac:dyDescent="0.4">
      <c r="B113" s="202" t="s">
        <v>42</v>
      </c>
      <c r="C113" s="117">
        <v>0</v>
      </c>
      <c r="D113" s="118"/>
      <c r="E113" s="117">
        <v>0</v>
      </c>
      <c r="F113" s="118"/>
      <c r="G113" s="203">
        <v>3.8000000000000003</v>
      </c>
      <c r="H113" s="124"/>
      <c r="I113" s="371">
        <v>1.4</v>
      </c>
      <c r="J113" s="84"/>
    </row>
    <row r="114" spans="2:10" x14ac:dyDescent="0.4">
      <c r="B114" s="202" t="s">
        <v>117</v>
      </c>
      <c r="C114" s="117">
        <v>0</v>
      </c>
      <c r="D114" s="118"/>
      <c r="E114" s="117">
        <v>0</v>
      </c>
      <c r="F114" s="118"/>
      <c r="G114" s="203">
        <v>1.6</v>
      </c>
      <c r="H114" s="124"/>
      <c r="I114" s="371">
        <v>1.4</v>
      </c>
      <c r="J114" s="84"/>
    </row>
    <row r="115" spans="2:10" x14ac:dyDescent="0.4">
      <c r="B115" s="202" t="s">
        <v>118</v>
      </c>
      <c r="C115" s="117">
        <v>0</v>
      </c>
      <c r="D115" s="118"/>
      <c r="E115" s="117">
        <v>0</v>
      </c>
      <c r="F115" s="118"/>
      <c r="G115" s="203">
        <v>1.1000000000000001</v>
      </c>
      <c r="H115" s="124"/>
      <c r="I115" s="371">
        <v>0.5</v>
      </c>
      <c r="J115" s="84"/>
    </row>
    <row r="116" spans="2:10" x14ac:dyDescent="0.4">
      <c r="B116" s="202" t="s">
        <v>249</v>
      </c>
      <c r="C116" s="117">
        <v>0</v>
      </c>
      <c r="D116" s="118"/>
      <c r="E116" s="117">
        <v>0.2</v>
      </c>
      <c r="F116" s="118"/>
      <c r="G116" s="267">
        <v>1E-4</v>
      </c>
      <c r="H116" s="124"/>
      <c r="I116" s="212">
        <v>1.4000000000000001E-4</v>
      </c>
      <c r="J116" s="84"/>
    </row>
    <row r="117" spans="2:10" x14ac:dyDescent="0.4">
      <c r="B117" s="202"/>
      <c r="C117" s="117"/>
      <c r="D117" s="118"/>
      <c r="E117" s="117"/>
      <c r="F117" s="118"/>
      <c r="G117" s="203"/>
      <c r="H117" s="124"/>
      <c r="I117" s="212"/>
      <c r="J117" s="84"/>
    </row>
    <row r="118" spans="2:10" x14ac:dyDescent="0.4">
      <c r="B118" s="202"/>
      <c r="C118" s="117"/>
      <c r="D118" s="118"/>
      <c r="E118" s="117"/>
      <c r="F118" s="118"/>
      <c r="G118" s="203"/>
      <c r="H118" s="124"/>
      <c r="I118" s="212"/>
      <c r="J118" s="84"/>
    </row>
    <row r="119" spans="2:10" x14ac:dyDescent="0.4">
      <c r="B119" s="202"/>
      <c r="C119" s="207"/>
      <c r="D119" s="118"/>
      <c r="E119" s="117"/>
      <c r="F119" s="118"/>
      <c r="G119" s="203"/>
      <c r="H119" s="124"/>
      <c r="I119" s="212"/>
      <c r="J119" s="84"/>
    </row>
    <row r="120" spans="2:10" x14ac:dyDescent="0.4">
      <c r="B120" s="202"/>
      <c r="C120" s="207"/>
      <c r="D120" s="118"/>
      <c r="E120" s="117"/>
      <c r="F120" s="118"/>
      <c r="G120" s="203"/>
      <c r="H120" s="124"/>
      <c r="I120" s="212"/>
      <c r="J120" s="84"/>
    </row>
    <row r="121" spans="2:10" x14ac:dyDescent="0.4">
      <c r="B121" s="202"/>
      <c r="C121" s="207"/>
      <c r="D121" s="118"/>
      <c r="E121" s="117"/>
      <c r="F121" s="118"/>
      <c r="G121" s="203"/>
      <c r="H121" s="124"/>
      <c r="I121" s="212"/>
      <c r="J121" s="84"/>
    </row>
    <row r="122" spans="2:10" x14ac:dyDescent="0.4">
      <c r="B122" s="202"/>
      <c r="C122" s="207"/>
      <c r="D122" s="118"/>
      <c r="E122" s="117"/>
      <c r="F122" s="118"/>
      <c r="G122" s="203"/>
      <c r="H122" s="124"/>
      <c r="I122" s="212"/>
      <c r="J122" s="84"/>
    </row>
    <row r="123" spans="2:10" x14ac:dyDescent="0.4">
      <c r="B123" s="202"/>
      <c r="C123" s="207"/>
      <c r="D123" s="118"/>
      <c r="E123" s="117"/>
      <c r="F123" s="118"/>
      <c r="G123" s="203"/>
      <c r="H123" s="124"/>
      <c r="I123" s="212"/>
      <c r="J123" s="84"/>
    </row>
    <row r="124" spans="2:10" x14ac:dyDescent="0.4">
      <c r="B124" s="202"/>
      <c r="C124" s="207"/>
      <c r="D124" s="118"/>
      <c r="E124" s="117"/>
      <c r="F124" s="118"/>
      <c r="G124" s="203"/>
      <c r="H124" s="124"/>
      <c r="I124" s="212"/>
      <c r="J124" s="84"/>
    </row>
    <row r="125" spans="2:10" x14ac:dyDescent="0.4">
      <c r="B125" s="202"/>
      <c r="C125" s="207"/>
      <c r="D125" s="118"/>
      <c r="E125" s="117"/>
      <c r="F125" s="118"/>
      <c r="G125" s="203"/>
      <c r="H125" s="124"/>
      <c r="I125" s="212"/>
      <c r="J125" s="84"/>
    </row>
    <row r="126" spans="2:10" x14ac:dyDescent="0.4">
      <c r="B126" s="202"/>
      <c r="C126" s="207"/>
      <c r="D126" s="118"/>
      <c r="E126" s="117"/>
      <c r="F126" s="118"/>
      <c r="G126" s="203"/>
      <c r="H126" s="124"/>
      <c r="I126" s="212"/>
      <c r="J126" s="84"/>
    </row>
    <row r="127" spans="2:10" x14ac:dyDescent="0.4">
      <c r="B127" s="202"/>
      <c r="C127" s="207"/>
      <c r="D127" s="118"/>
      <c r="E127" s="117"/>
      <c r="F127" s="118"/>
      <c r="G127" s="203"/>
      <c r="H127" s="124"/>
      <c r="I127" s="212"/>
      <c r="J127" s="84"/>
    </row>
    <row r="128" spans="2:10" x14ac:dyDescent="0.4">
      <c r="B128" s="202"/>
      <c r="C128" s="207"/>
      <c r="D128" s="118"/>
      <c r="E128" s="117"/>
      <c r="F128" s="118"/>
      <c r="G128" s="203"/>
      <c r="H128" s="124"/>
      <c r="I128" s="212"/>
      <c r="J128" s="84"/>
    </row>
    <row r="129" spans="2:10" x14ac:dyDescent="0.4">
      <c r="B129" s="202"/>
      <c r="C129" s="207"/>
      <c r="D129" s="118"/>
      <c r="E129" s="117"/>
      <c r="F129" s="118"/>
      <c r="G129" s="203"/>
      <c r="H129" s="124"/>
      <c r="I129" s="212"/>
      <c r="J129" s="84"/>
    </row>
    <row r="130" spans="2:10" ht="19.5" thickBot="1" x14ac:dyDescent="0.45">
      <c r="B130" s="208"/>
      <c r="C130" s="209"/>
      <c r="D130" s="120"/>
      <c r="E130" s="121"/>
      <c r="F130" s="120"/>
      <c r="G130" s="210"/>
      <c r="H130" s="126"/>
      <c r="I130" s="213"/>
      <c r="J130" s="86"/>
    </row>
  </sheetData>
  <sheetProtection algorithmName="SHA-512" hashValue="vq2ObjL81fYVpM51YJ9Zs/whFxs9wp5XDQLaF2rbpWzIy0nWZT9kiQoVDHb101CiViV/UYtWsPgfYn4iEMERzg==" saltValue="gacr5Z37kiC+ryHwqsainA==" spinCount="100000" sheet="1" objects="1" selectLockedCells="1"/>
  <sortState xmlns:xlrd2="http://schemas.microsoft.com/office/spreadsheetml/2017/richdata2" ref="B12:E41">
    <sortCondition ref="E12:E41"/>
  </sortState>
  <mergeCells count="40">
    <mergeCell ref="V9:V11"/>
    <mergeCell ref="P10:P11"/>
    <mergeCell ref="M9:N9"/>
    <mergeCell ref="K9:L9"/>
    <mergeCell ref="I9:J9"/>
    <mergeCell ref="AF9:AF11"/>
    <mergeCell ref="AA10:AA11"/>
    <mergeCell ref="AB10:AB11"/>
    <mergeCell ref="AC10:AC11"/>
    <mergeCell ref="AD10:AD11"/>
    <mergeCell ref="AA9:AD9"/>
    <mergeCell ref="R9:R11"/>
    <mergeCell ref="P9:Q9"/>
    <mergeCell ref="Q10:Q11"/>
    <mergeCell ref="Y9:Y11"/>
    <mergeCell ref="S9:S11"/>
    <mergeCell ref="T9:T11"/>
    <mergeCell ref="U9:U11"/>
    <mergeCell ref="B69:B70"/>
    <mergeCell ref="F2:H2"/>
    <mergeCell ref="F3:H5"/>
    <mergeCell ref="E3:E5"/>
    <mergeCell ref="F6:H6"/>
    <mergeCell ref="E9:G9"/>
    <mergeCell ref="C69:D69"/>
    <mergeCell ref="E69:F69"/>
    <mergeCell ref="C42:D42"/>
    <mergeCell ref="G69:H69"/>
    <mergeCell ref="F7:H7"/>
    <mergeCell ref="B10:B11"/>
    <mergeCell ref="E10:E11"/>
    <mergeCell ref="H9:H11"/>
    <mergeCell ref="L69:P78"/>
    <mergeCell ref="F10:F11"/>
    <mergeCell ref="D10:D11"/>
    <mergeCell ref="G10:G11"/>
    <mergeCell ref="I69:J69"/>
    <mergeCell ref="M10:N10"/>
    <mergeCell ref="I10:J10"/>
    <mergeCell ref="K10:L10"/>
  </mergeCells>
  <dataValidations count="2">
    <dataValidation type="whole" allowBlank="1" showInputMessage="1" showErrorMessage="1" sqref="D12:D41" xr:uid="{2C6BC12A-C8D6-B744-A921-88EEC5725DE0}">
      <formula1>0</formula1>
      <formula2>1000000</formula2>
    </dataValidation>
    <dataValidation operator="greaterThanOrEqual" allowBlank="1" showInputMessage="1" showErrorMessage="1" sqref="S12:S41" xr:uid="{1BF9E4B1-7BD8-4023-9AE1-2C5C123E301C}"/>
  </dataValidations>
  <pageMargins left="0.7" right="0.7" top="0.75" bottom="0.75" header="0.3" footer="0.3"/>
  <pageSetup scale="25" fitToHeight="0" orientation="landscape" r:id="rId1"/>
  <rowBreaks count="2" manualBreakCount="2">
    <brk id="42" max="16383" man="1"/>
    <brk id="67" max="16383" man="1"/>
  </rowBreaks>
  <colBreaks count="1" manualBreakCount="1">
    <brk id="34"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4779CF30-F3B0-0342-8145-0A48BC562997}">
          <x14:formula1>
            <xm:f>List!$J$15:$J$20</xm:f>
          </x14:formula1>
          <xm:sqref>Q12:Q41</xm:sqref>
        </x14:dataValidation>
        <x14:dataValidation type="list" allowBlank="1" showInputMessage="1" showErrorMessage="1" xr:uid="{D7B9F580-0A62-B740-BD11-8756FCD5CEA4}">
          <x14:formula1>
            <xm:f>List!$J$3:$J$6</xm:f>
          </x14:formula1>
          <xm:sqref>F12:F41</xm:sqref>
        </x14:dataValidation>
        <x14:dataValidation type="list" allowBlank="1" showInputMessage="1" showErrorMessage="1" xr:uid="{53831C38-5F46-E141-9CEC-7EEF0A332E67}">
          <x14:formula1>
            <xm:f>List!$B$3:$B$62</xm:f>
          </x14:formula1>
          <xm:sqref>E12:E41</xm:sqref>
        </x14:dataValidation>
        <x14:dataValidation type="list" allowBlank="1" showInputMessage="1" showErrorMessage="1" xr:uid="{E5894BAE-B5EC-468A-9D7A-6F321A5C31E8}">
          <x14:formula1>
            <xm:f>List!$L$8:$L$12</xm:f>
          </x14:formula1>
          <xm:sqref>H12:H41</xm:sqref>
        </x14:dataValidation>
        <x14:dataValidation type="list" allowBlank="1" showInputMessage="1" showErrorMessage="1" xr:uid="{AE46A03E-6AD2-443B-A219-3A91FA494B8C}">
          <x14:formula1>
            <xm:f>List!$J$27:$J$34</xm:f>
          </x14:formula1>
          <xm:sqref>I10:J10</xm:sqref>
        </x14:dataValidation>
        <x14:dataValidation type="list" allowBlank="1" showInputMessage="1" showErrorMessage="1" xr:uid="{F94B1DB3-36CA-4CE2-B3DC-06F3EEE6D2F0}">
          <x14:formula1>
            <xm:f>List!$K$28:$K$34</xm:f>
          </x14:formula1>
          <xm:sqref>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04CAA-1144-F346-AF5D-DFF274C91824}">
  <dimension ref="B1:I37"/>
  <sheetViews>
    <sheetView workbookViewId="0">
      <selection activeCell="G6" sqref="G6"/>
    </sheetView>
  </sheetViews>
  <sheetFormatPr defaultColWidth="10.85546875" defaultRowHeight="15" x14ac:dyDescent="0.25"/>
  <cols>
    <col min="1" max="4" width="10.85546875" style="1"/>
    <col min="5" max="5" width="12.7109375" style="1" bestFit="1" customWidth="1"/>
    <col min="6" max="6" width="12.7109375" style="1" customWidth="1"/>
    <col min="7" max="7" width="14.7109375" style="1" bestFit="1" customWidth="1"/>
    <col min="8" max="8" width="14.7109375" style="1" customWidth="1"/>
    <col min="9" max="16384" width="10.85546875" style="1"/>
  </cols>
  <sheetData>
    <row r="1" spans="2:9" ht="15.75" thickBot="1" x14ac:dyDescent="0.3"/>
    <row r="2" spans="2:9" s="2" customFormat="1" ht="15.75" thickBot="1" x14ac:dyDescent="0.3">
      <c r="B2" s="13" t="s">
        <v>37</v>
      </c>
      <c r="C2" s="14" t="s">
        <v>34</v>
      </c>
      <c r="D2" s="14" t="s">
        <v>4</v>
      </c>
      <c r="E2" s="14" t="s">
        <v>35</v>
      </c>
      <c r="F2" s="14" t="s">
        <v>38</v>
      </c>
      <c r="G2" s="14" t="s">
        <v>36</v>
      </c>
      <c r="H2" s="15" t="s">
        <v>39</v>
      </c>
      <c r="I2" s="16" t="s">
        <v>0</v>
      </c>
    </row>
    <row r="3" spans="2:9" x14ac:dyDescent="0.25">
      <c r="B3" s="3" t="str">
        <f>IF('MCI Calculator'!B12="","",'MCI Calculator'!B12)</f>
        <v>Foundation</v>
      </c>
      <c r="C3" s="4">
        <f>IF(OR('MCI Calculator'!C12="",'MCI Calculator'!D12=""),"",('MCI Calculator'!C12*'MCI Calculator'!D12))</f>
        <v>7500</v>
      </c>
      <c r="D3" s="4" t="str">
        <f>IF('MCI Calculator'!E12="","",'MCI Calculator'!E12)</f>
        <v>Concrete</v>
      </c>
      <c r="E3" s="9">
        <f>IF(OR($C3="",$D3=""),"",(VLOOKUP($D3,List!$B$3:$H$62,6,FALSE)*$C3))</f>
        <v>750</v>
      </c>
      <c r="F3" s="18">
        <f>IF(E3="","",E3/SUM(E$3:E$32))</f>
        <v>7.4257425742574254E-3</v>
      </c>
      <c r="G3" s="12">
        <f>IF(OR($C3="",$D3=""),"",(VLOOKUP($D3,List!$B$3:$H$62,7,FALSE)*$C3))</f>
        <v>1050</v>
      </c>
      <c r="H3" s="18">
        <f>IF(G3="","",G3/SUM(G$3:G$32))</f>
        <v>1.8743305962156374E-2</v>
      </c>
      <c r="I3" s="19">
        <f>IF('MCI Calculator'!Y12="",-10,'MCI Calculator'!Y12)</f>
        <v>0.52249999999999996</v>
      </c>
    </row>
    <row r="4" spans="2:9" x14ac:dyDescent="0.25">
      <c r="B4" s="5" t="str">
        <f>IF('MCI Calculator'!B13="","",'MCI Calculator'!B13)</f>
        <v>Structural Columns</v>
      </c>
      <c r="C4" s="6">
        <f>IF(OR('MCI Calculator'!C13="",'MCI Calculator'!D13=""),"",('MCI Calculator'!C13*'MCI Calculator'!D13))</f>
        <v>25000</v>
      </c>
      <c r="D4" s="6" t="str">
        <f>IF('MCI Calculator'!E13="","",'MCI Calculator'!E13)</f>
        <v>Steel</v>
      </c>
      <c r="E4" s="10">
        <f>IF(OR($C4="",$D4=""),"",(VLOOKUP($D4,List!$B$3:$H$62,6,FALSE)*$C4))</f>
        <v>45000</v>
      </c>
      <c r="F4" s="17">
        <f t="shared" ref="F4:F32" si="0">IF(E4="","",E4/SUM(E$3:E$32))</f>
        <v>0.44554455445544555</v>
      </c>
      <c r="G4" s="11">
        <f>IF(OR($C4="",$D4=""),"",(VLOOKUP($D4,List!$B$3:$H$62,7,FALSE)*$C4))</f>
        <v>11000</v>
      </c>
      <c r="H4" s="17">
        <f t="shared" ref="H4:H32" si="1">IF(G4="","",G4/SUM(G$3:G$32))</f>
        <v>0.19635844341306677</v>
      </c>
      <c r="I4" s="20">
        <f>IF('MCI Calculator'!Y13="",-10,'MCI Calculator'!Y13)</f>
        <v>0.67500000000000004</v>
      </c>
    </row>
    <row r="5" spans="2:9" x14ac:dyDescent="0.25">
      <c r="B5" s="5" t="str">
        <f>IF('MCI Calculator'!B14="","",'MCI Calculator'!B14)</f>
        <v>Floor Beams</v>
      </c>
      <c r="C5" s="6">
        <f>IF(OR('MCI Calculator'!C14="",'MCI Calculator'!D14=""),"",('MCI Calculator'!C14*'MCI Calculator'!D14))</f>
        <v>24000</v>
      </c>
      <c r="D5" s="6" t="str">
        <f>IF('MCI Calculator'!E14="","",'MCI Calculator'!E14)</f>
        <v>Steel</v>
      </c>
      <c r="E5" s="10">
        <f>IF(OR($C5="",$D5=""),"",(VLOOKUP($D5,List!$B$3:$H$62,6,FALSE)*$C5))</f>
        <v>43200</v>
      </c>
      <c r="F5" s="17">
        <f t="shared" si="0"/>
        <v>0.42772277227722771</v>
      </c>
      <c r="G5" s="11">
        <f>IF(OR($C5="",$D5=""),"",(VLOOKUP($D5,List!$B$3:$H$62,7,FALSE)*$C5))</f>
        <v>10560</v>
      </c>
      <c r="H5" s="17">
        <f t="shared" si="1"/>
        <v>0.1885041056765441</v>
      </c>
      <c r="I5" s="20">
        <f>IF('MCI Calculator'!Y14="",-10,'MCI Calculator'!Y14)</f>
        <v>0.57499999999999996</v>
      </c>
    </row>
    <row r="6" spans="2:9" x14ac:dyDescent="0.25">
      <c r="B6" s="5" t="str">
        <f>IF('MCI Calculator'!B15="","",'MCI Calculator'!B15)</f>
        <v>Roof Beams</v>
      </c>
      <c r="C6" s="6">
        <f>IF(OR('MCI Calculator'!C15="",'MCI Calculator'!D15=""),"",('MCI Calculator'!C15*'MCI Calculator'!D15))</f>
        <v>7500</v>
      </c>
      <c r="D6" s="6" t="str">
        <f>IF('MCI Calculator'!E15="","",'MCI Calculator'!E15)</f>
        <v>Timber</v>
      </c>
      <c r="E6" s="10">
        <f>IF(OR($C6="",$D6=""),"",(VLOOKUP($D6,List!$B$3:$H$62,6,FALSE)*$C6))</f>
        <v>2250.0000000000005</v>
      </c>
      <c r="F6" s="17">
        <f t="shared" si="0"/>
        <v>2.2277227722772283E-2</v>
      </c>
      <c r="G6" s="11">
        <f>IF(OR($C6="",$D6=""),"",(VLOOKUP($D6,List!$B$3:$H$62,7,FALSE)*$C6))</f>
        <v>26250</v>
      </c>
      <c r="H6" s="17">
        <f t="shared" si="1"/>
        <v>0.46858264905390934</v>
      </c>
      <c r="I6" s="20">
        <f>IF('MCI Calculator'!Y15="",-10,'MCI Calculator'!Y15)</f>
        <v>1</v>
      </c>
    </row>
    <row r="7" spans="2:9" x14ac:dyDescent="0.25">
      <c r="B7" s="5" t="str">
        <f>IF('MCI Calculator'!B16="","",'MCI Calculator'!B16)</f>
        <v>External wall panels</v>
      </c>
      <c r="C7" s="6">
        <f>IF(OR('MCI Calculator'!C16="",'MCI Calculator'!D16=""),"",('MCI Calculator'!C16*'MCI Calculator'!D16))</f>
        <v>8000</v>
      </c>
      <c r="D7" s="6" t="str">
        <f>IF('MCI Calculator'!E16="","",'MCI Calculator'!E16)</f>
        <v>Concrete</v>
      </c>
      <c r="E7" s="10">
        <f>IF(OR($C7="",$D7=""),"",(VLOOKUP($D7,List!$B$3:$H$62,6,FALSE)*$C7))</f>
        <v>800</v>
      </c>
      <c r="F7" s="17">
        <f t="shared" si="0"/>
        <v>7.9207920792079209E-3</v>
      </c>
      <c r="G7" s="11">
        <f>IF(OR($C7="",$D7=""),"",(VLOOKUP($D7,List!$B$3:$H$62,7,FALSE)*$C7))</f>
        <v>1120</v>
      </c>
      <c r="H7" s="17">
        <f t="shared" si="1"/>
        <v>1.9992859692966797E-2</v>
      </c>
      <c r="I7" s="20">
        <f>IF('MCI Calculator'!Y16="",-10,'MCI Calculator'!Y16)</f>
        <v>4.4999999999999998E-2</v>
      </c>
    </row>
    <row r="8" spans="2:9" x14ac:dyDescent="0.25">
      <c r="B8" s="5" t="str">
        <f>IF('MCI Calculator'!B17="","",'MCI Calculator'!B17)</f>
        <v>Internal wall panels</v>
      </c>
      <c r="C8" s="6">
        <f>IF(OR('MCI Calculator'!C17="",'MCI Calculator'!D17=""),"",('MCI Calculator'!C17*'MCI Calculator'!D17))</f>
        <v>6000</v>
      </c>
      <c r="D8" s="6" t="str">
        <f>IF('MCI Calculator'!E17="","",'MCI Calculator'!E17)</f>
        <v>Gypsum</v>
      </c>
      <c r="E8" s="10">
        <f>IF(OR($C8="",$D8=""),"",(VLOOKUP($D8,List!$B$3:$H$62,6,FALSE)*$C8))</f>
        <v>2400</v>
      </c>
      <c r="F8" s="17">
        <f t="shared" si="0"/>
        <v>2.3762376237623763E-2</v>
      </c>
      <c r="G8" s="11">
        <f>IF(OR($C8="",$D8=""),"",(VLOOKUP($D8,List!$B$3:$H$62,7,FALSE)*$C8))</f>
        <v>2400</v>
      </c>
      <c r="H8" s="17">
        <f t="shared" si="1"/>
        <v>4.2841842199214566E-2</v>
      </c>
      <c r="I8" s="20">
        <f>IF('MCI Calculator'!Y17="",-10,'MCI Calculator'!Y17)</f>
        <v>0.25</v>
      </c>
    </row>
    <row r="9" spans="2:9" x14ac:dyDescent="0.25">
      <c r="B9" s="5" t="str">
        <f>IF('MCI Calculator'!B18="","",'MCI Calculator'!B18)</f>
        <v>Flooring Sheets</v>
      </c>
      <c r="C9" s="6">
        <f>IF(OR('MCI Calculator'!C18="",'MCI Calculator'!D18=""),"",('MCI Calculator'!C18*'MCI Calculator'!D18))</f>
        <v>5000</v>
      </c>
      <c r="D9" s="6" t="str">
        <f>IF('MCI Calculator'!E18="","",'MCI Calculator'!E18)</f>
        <v>MDF</v>
      </c>
      <c r="E9" s="10">
        <f>IF(OR($C9="",$D9=""),"",(VLOOKUP($D9,List!$B$3:$H$62,6,FALSE)*$C9))</f>
        <v>6500</v>
      </c>
      <c r="F9" s="17">
        <f t="shared" si="0"/>
        <v>6.4356435643564358E-2</v>
      </c>
      <c r="G9" s="11">
        <f>IF(OR($C9="",$D9=""),"",(VLOOKUP($D9,List!$B$3:$H$62,7,FALSE)*$C9))</f>
        <v>3500</v>
      </c>
      <c r="H9" s="17">
        <f t="shared" si="1"/>
        <v>6.2477686540521243E-2</v>
      </c>
      <c r="I9" s="20">
        <f>IF('MCI Calculator'!Y18="",-10,'MCI Calculator'!Y18)</f>
        <v>0.72499999999999998</v>
      </c>
    </row>
    <row r="10" spans="2:9" x14ac:dyDescent="0.25">
      <c r="B10" s="5" t="str">
        <f>IF('MCI Calculator'!B19="","",'MCI Calculator'!B19)</f>
        <v>Roof Tiles</v>
      </c>
      <c r="C10" s="6">
        <f>IF(OR('MCI Calculator'!C19="",'MCI Calculator'!D19=""),"",('MCI Calculator'!C19*'MCI Calculator'!D19))</f>
        <v>1000</v>
      </c>
      <c r="D10" s="6" t="str">
        <f>IF('MCI Calculator'!E19="","",'MCI Calculator'!E19)</f>
        <v>Concrete</v>
      </c>
      <c r="E10" s="10">
        <f>IF(OR($C10="",$D10=""),"",(VLOOKUP($D10,List!$B$3:$H$62,6,FALSE)*$C10))</f>
        <v>100</v>
      </c>
      <c r="F10" s="17">
        <f t="shared" si="0"/>
        <v>9.9009900990099011E-4</v>
      </c>
      <c r="G10" s="11">
        <f>IF(OR($C10="",$D10=""),"",(VLOOKUP($D10,List!$B$3:$H$62,7,FALSE)*$C10))</f>
        <v>140</v>
      </c>
      <c r="H10" s="17">
        <f t="shared" si="1"/>
        <v>2.4991074616208496E-3</v>
      </c>
      <c r="I10" s="20">
        <f>IF('MCI Calculator'!Y19="",-10,'MCI Calculator'!Y19)</f>
        <v>0.05</v>
      </c>
    </row>
    <row r="11" spans="2:9" x14ac:dyDescent="0.25">
      <c r="B11" s="5" t="str">
        <f>IF('MCI Calculator'!B20="","",'MCI Calculator'!B20)</f>
        <v/>
      </c>
      <c r="C11" s="6" t="str">
        <f>IF(OR('MCI Calculator'!C20="",'MCI Calculator'!D20=""),"",('MCI Calculator'!C20*'MCI Calculator'!D20))</f>
        <v/>
      </c>
      <c r="D11" s="6" t="str">
        <f>IF('MCI Calculator'!E20="","",'MCI Calculator'!E20)</f>
        <v/>
      </c>
      <c r="E11" s="10" t="str">
        <f>IF(OR($C11="",$D11=""),"",(VLOOKUP($D11,List!$B$3:$H$62,6,FALSE)*$C11))</f>
        <v/>
      </c>
      <c r="F11" s="17" t="str">
        <f t="shared" si="0"/>
        <v/>
      </c>
      <c r="G11" s="11" t="str">
        <f>IF(OR($C11="",$D11=""),"",(VLOOKUP($D11,List!$B$3:$H$62,7,FALSE)*$C11))</f>
        <v/>
      </c>
      <c r="H11" s="17" t="str">
        <f t="shared" si="1"/>
        <v/>
      </c>
      <c r="I11" s="20">
        <f>IF('MCI Calculator'!Y20="",-10,'MCI Calculator'!Y20)</f>
        <v>-10</v>
      </c>
    </row>
    <row r="12" spans="2:9" x14ac:dyDescent="0.25">
      <c r="B12" s="5" t="str">
        <f>IF('MCI Calculator'!B21="","",'MCI Calculator'!B21)</f>
        <v/>
      </c>
      <c r="C12" s="6" t="str">
        <f>IF(OR('MCI Calculator'!C21="",'MCI Calculator'!D21=""),"",('MCI Calculator'!C21*'MCI Calculator'!D21))</f>
        <v/>
      </c>
      <c r="D12" s="6" t="str">
        <f>IF('MCI Calculator'!E21="","",'MCI Calculator'!E21)</f>
        <v/>
      </c>
      <c r="E12" s="10" t="str">
        <f>IF(OR($C12="",$D12=""),"",(VLOOKUP($D12,List!$B$3:$H$62,6,FALSE)*$C12))</f>
        <v/>
      </c>
      <c r="F12" s="17" t="str">
        <f t="shared" si="0"/>
        <v/>
      </c>
      <c r="G12" s="11" t="str">
        <f>IF(OR($C12="",$D12=""),"",(VLOOKUP($D12,List!$B$3:$H$62,7,FALSE)*$C12))</f>
        <v/>
      </c>
      <c r="H12" s="17" t="str">
        <f t="shared" si="1"/>
        <v/>
      </c>
      <c r="I12" s="20">
        <f>IF('MCI Calculator'!Y21="",-10,'MCI Calculator'!Y21)</f>
        <v>-10</v>
      </c>
    </row>
    <row r="13" spans="2:9" x14ac:dyDescent="0.25">
      <c r="B13" s="5" t="str">
        <f>IF('MCI Calculator'!B22="","",'MCI Calculator'!B22)</f>
        <v/>
      </c>
      <c r="C13" s="6" t="str">
        <f>IF(OR('MCI Calculator'!C22="",'MCI Calculator'!D22=""),"",('MCI Calculator'!C22*'MCI Calculator'!D22))</f>
        <v/>
      </c>
      <c r="D13" s="6" t="str">
        <f>IF('MCI Calculator'!E22="","",'MCI Calculator'!E22)</f>
        <v/>
      </c>
      <c r="E13" s="10" t="str">
        <f>IF(OR($C13="",$D13=""),"",(VLOOKUP($D13,List!$B$3:$H$62,6,FALSE)*$C13))</f>
        <v/>
      </c>
      <c r="F13" s="17" t="str">
        <f t="shared" si="0"/>
        <v/>
      </c>
      <c r="G13" s="11" t="str">
        <f>IF(OR($C13="",$D13=""),"",(VLOOKUP($D13,List!$B$3:$H$62,7,FALSE)*$C13))</f>
        <v/>
      </c>
      <c r="H13" s="17" t="str">
        <f t="shared" si="1"/>
        <v/>
      </c>
      <c r="I13" s="20">
        <f>IF('MCI Calculator'!Y22="",-10,'MCI Calculator'!Y22)</f>
        <v>-10</v>
      </c>
    </row>
    <row r="14" spans="2:9" x14ac:dyDescent="0.25">
      <c r="B14" s="5" t="str">
        <f>IF('MCI Calculator'!B23="","",'MCI Calculator'!B23)</f>
        <v/>
      </c>
      <c r="C14" s="6" t="str">
        <f>IF(OR('MCI Calculator'!C23="",'MCI Calculator'!D23=""),"",('MCI Calculator'!C23*'MCI Calculator'!D23))</f>
        <v/>
      </c>
      <c r="D14" s="6" t="str">
        <f>IF('MCI Calculator'!E23="","",'MCI Calculator'!E23)</f>
        <v/>
      </c>
      <c r="E14" s="10" t="str">
        <f>IF(OR($C14="",$D14=""),"",(VLOOKUP($D14,List!$B$3:$H$62,6,FALSE)*$C14))</f>
        <v/>
      </c>
      <c r="F14" s="17" t="str">
        <f t="shared" si="0"/>
        <v/>
      </c>
      <c r="G14" s="11" t="str">
        <f>IF(OR($C14="",$D14=""),"",(VLOOKUP($D14,List!$B$3:$H$62,7,FALSE)*$C14))</f>
        <v/>
      </c>
      <c r="H14" s="17" t="str">
        <f t="shared" si="1"/>
        <v/>
      </c>
      <c r="I14" s="20">
        <f>IF('MCI Calculator'!Y23="",-10,'MCI Calculator'!Y23)</f>
        <v>-10</v>
      </c>
    </row>
    <row r="15" spans="2:9" x14ac:dyDescent="0.25">
      <c r="B15" s="5" t="str">
        <f>IF('MCI Calculator'!B24="","",'MCI Calculator'!B24)</f>
        <v/>
      </c>
      <c r="C15" s="6" t="str">
        <f>IF(OR('MCI Calculator'!C24="",'MCI Calculator'!D24=""),"",('MCI Calculator'!C24*'MCI Calculator'!D24))</f>
        <v/>
      </c>
      <c r="D15" s="6" t="str">
        <f>IF('MCI Calculator'!E24="","",'MCI Calculator'!E24)</f>
        <v/>
      </c>
      <c r="E15" s="10" t="str">
        <f>IF(OR($C15="",$D15=""),"",(VLOOKUP($D15,List!$B$3:$H$62,6,FALSE)*$C15))</f>
        <v/>
      </c>
      <c r="F15" s="17" t="str">
        <f t="shared" si="0"/>
        <v/>
      </c>
      <c r="G15" s="11" t="str">
        <f>IF(OR($C15="",$D15=""),"",(VLOOKUP($D15,List!$B$3:$H$62,7,FALSE)*$C15))</f>
        <v/>
      </c>
      <c r="H15" s="17" t="str">
        <f t="shared" si="1"/>
        <v/>
      </c>
      <c r="I15" s="20">
        <f>IF('MCI Calculator'!Y24="",-10,'MCI Calculator'!Y24)</f>
        <v>-10</v>
      </c>
    </row>
    <row r="16" spans="2:9" x14ac:dyDescent="0.25">
      <c r="B16" s="5" t="str">
        <f>IF('MCI Calculator'!B25="","",'MCI Calculator'!B25)</f>
        <v/>
      </c>
      <c r="C16" s="6" t="str">
        <f>IF(OR('MCI Calculator'!C25="",'MCI Calculator'!D25=""),"",('MCI Calculator'!C25*'MCI Calculator'!D25))</f>
        <v/>
      </c>
      <c r="D16" s="6" t="str">
        <f>IF('MCI Calculator'!E25="","",'MCI Calculator'!E25)</f>
        <v/>
      </c>
      <c r="E16" s="10" t="str">
        <f>IF(OR($C16="",$D16=""),"",(VLOOKUP($D16,List!$B$3:$H$62,6,FALSE)*$C16))</f>
        <v/>
      </c>
      <c r="F16" s="17" t="str">
        <f t="shared" si="0"/>
        <v/>
      </c>
      <c r="G16" s="11" t="str">
        <f>IF(OR($C16="",$D16=""),"",(VLOOKUP($D16,List!$B$3:$H$62,7,FALSE)*$C16))</f>
        <v/>
      </c>
      <c r="H16" s="17" t="str">
        <f t="shared" si="1"/>
        <v/>
      </c>
      <c r="I16" s="20">
        <f>IF('MCI Calculator'!Y25="",-10,'MCI Calculator'!Y25)</f>
        <v>-10</v>
      </c>
    </row>
    <row r="17" spans="2:9" x14ac:dyDescent="0.25">
      <c r="B17" s="5" t="str">
        <f>IF('MCI Calculator'!B26="","",'MCI Calculator'!B26)</f>
        <v/>
      </c>
      <c r="C17" s="6" t="str">
        <f>IF(OR('MCI Calculator'!C26="",'MCI Calculator'!D26=""),"",('MCI Calculator'!C26*'MCI Calculator'!D26))</f>
        <v/>
      </c>
      <c r="D17" s="6" t="str">
        <f>IF('MCI Calculator'!E26="","",'MCI Calculator'!E26)</f>
        <v/>
      </c>
      <c r="E17" s="10" t="str">
        <f>IF(OR($C17="",$D17=""),"",(VLOOKUP($D17,List!$B$3:$H$62,6,FALSE)*$C17))</f>
        <v/>
      </c>
      <c r="F17" s="17" t="str">
        <f t="shared" si="0"/>
        <v/>
      </c>
      <c r="G17" s="11" t="str">
        <f>IF(OR($C17="",$D17=""),"",(VLOOKUP($D17,List!$B$3:$H$62,7,FALSE)*$C17))</f>
        <v/>
      </c>
      <c r="H17" s="17" t="str">
        <f t="shared" si="1"/>
        <v/>
      </c>
      <c r="I17" s="20">
        <f>IF('MCI Calculator'!Y26="",-10,'MCI Calculator'!Y26)</f>
        <v>-10</v>
      </c>
    </row>
    <row r="18" spans="2:9" x14ac:dyDescent="0.25">
      <c r="B18" s="5" t="str">
        <f>IF('MCI Calculator'!B27="","",'MCI Calculator'!B27)</f>
        <v/>
      </c>
      <c r="C18" s="6" t="str">
        <f>IF(OR('MCI Calculator'!C27="",'MCI Calculator'!D27=""),"",('MCI Calculator'!C27*'MCI Calculator'!D27))</f>
        <v/>
      </c>
      <c r="D18" s="6" t="str">
        <f>IF('MCI Calculator'!E27="","",'MCI Calculator'!E27)</f>
        <v/>
      </c>
      <c r="E18" s="10" t="str">
        <f>IF(OR($C18="",$D18=""),"",(VLOOKUP($D18,List!$B$3:$H$62,6,FALSE)*$C18))</f>
        <v/>
      </c>
      <c r="F18" s="17" t="str">
        <f t="shared" si="0"/>
        <v/>
      </c>
      <c r="G18" s="11" t="str">
        <f>IF(OR($C18="",$D18=""),"",(VLOOKUP($D18,List!$B$3:$H$62,7,FALSE)*$C18))</f>
        <v/>
      </c>
      <c r="H18" s="17" t="str">
        <f t="shared" si="1"/>
        <v/>
      </c>
      <c r="I18" s="20">
        <f>IF('MCI Calculator'!Y27="",-10,'MCI Calculator'!Y27)</f>
        <v>-10</v>
      </c>
    </row>
    <row r="19" spans="2:9" x14ac:dyDescent="0.25">
      <c r="B19" s="5" t="str">
        <f>IF('MCI Calculator'!B28="","",'MCI Calculator'!B28)</f>
        <v/>
      </c>
      <c r="C19" s="6" t="str">
        <f>IF(OR('MCI Calculator'!C28="",'MCI Calculator'!D28=""),"",('MCI Calculator'!C28*'MCI Calculator'!D28))</f>
        <v/>
      </c>
      <c r="D19" s="6" t="str">
        <f>IF('MCI Calculator'!E28="","",'MCI Calculator'!E28)</f>
        <v/>
      </c>
      <c r="E19" s="10" t="str">
        <f>IF(OR($C19="",$D19=""),"",(VLOOKUP($D19,List!$B$3:$H$62,6,FALSE)*$C19))</f>
        <v/>
      </c>
      <c r="F19" s="17" t="str">
        <f t="shared" si="0"/>
        <v/>
      </c>
      <c r="G19" s="11" t="str">
        <f>IF(OR($C19="",$D19=""),"",(VLOOKUP($D19,List!$B$3:$H$62,7,FALSE)*$C19))</f>
        <v/>
      </c>
      <c r="H19" s="17" t="str">
        <f t="shared" si="1"/>
        <v/>
      </c>
      <c r="I19" s="20">
        <f>IF('MCI Calculator'!Y28="",-10,'MCI Calculator'!Y28)</f>
        <v>-10</v>
      </c>
    </row>
    <row r="20" spans="2:9" x14ac:dyDescent="0.25">
      <c r="B20" s="5" t="str">
        <f>IF('MCI Calculator'!B29="","",'MCI Calculator'!B29)</f>
        <v/>
      </c>
      <c r="C20" s="6" t="str">
        <f>IF(OR('MCI Calculator'!C29="",'MCI Calculator'!D29=""),"",('MCI Calculator'!C29*'MCI Calculator'!D29))</f>
        <v/>
      </c>
      <c r="D20" s="6" t="str">
        <f>IF('MCI Calculator'!E29="","",'MCI Calculator'!E29)</f>
        <v/>
      </c>
      <c r="E20" s="10" t="str">
        <f>IF(OR($C20="",$D20=""),"",(VLOOKUP($D20,List!$B$3:$H$62,6,FALSE)*$C20))</f>
        <v/>
      </c>
      <c r="F20" s="17" t="str">
        <f t="shared" si="0"/>
        <v/>
      </c>
      <c r="G20" s="11" t="str">
        <f>IF(OR($C20="",$D20=""),"",(VLOOKUP($D20,List!$B$3:$H$62,7,FALSE)*$C20))</f>
        <v/>
      </c>
      <c r="H20" s="17" t="str">
        <f t="shared" si="1"/>
        <v/>
      </c>
      <c r="I20" s="20">
        <f>IF('MCI Calculator'!Y29="",-10,'MCI Calculator'!Y29)</f>
        <v>-10</v>
      </c>
    </row>
    <row r="21" spans="2:9" x14ac:dyDescent="0.25">
      <c r="B21" s="5" t="str">
        <f>IF('MCI Calculator'!B30="","",'MCI Calculator'!B30)</f>
        <v/>
      </c>
      <c r="C21" s="6" t="str">
        <f>IF(OR('MCI Calculator'!C30="",'MCI Calculator'!D30=""),"",('MCI Calculator'!C30*'MCI Calculator'!D30))</f>
        <v/>
      </c>
      <c r="D21" s="6" t="str">
        <f>IF('MCI Calculator'!E30="","",'MCI Calculator'!E30)</f>
        <v/>
      </c>
      <c r="E21" s="10" t="str">
        <f>IF(OR($C21="",$D21=""),"",(VLOOKUP($D21,List!$B$3:$H$62,6,FALSE)*$C21))</f>
        <v/>
      </c>
      <c r="F21" s="17" t="str">
        <f t="shared" si="0"/>
        <v/>
      </c>
      <c r="G21" s="11" t="str">
        <f>IF(OR($C21="",$D21=""),"",(VLOOKUP($D21,List!$B$3:$H$62,7,FALSE)*$C21))</f>
        <v/>
      </c>
      <c r="H21" s="17" t="str">
        <f t="shared" si="1"/>
        <v/>
      </c>
      <c r="I21" s="20">
        <f>IF('MCI Calculator'!Y30="",-10,'MCI Calculator'!Y30)</f>
        <v>-10</v>
      </c>
    </row>
    <row r="22" spans="2:9" x14ac:dyDescent="0.25">
      <c r="B22" s="5" t="str">
        <f>IF('MCI Calculator'!B31="","",'MCI Calculator'!B31)</f>
        <v/>
      </c>
      <c r="C22" s="6" t="str">
        <f>IF(OR('MCI Calculator'!C31="",'MCI Calculator'!D31=""),"",('MCI Calculator'!C31*'MCI Calculator'!D31))</f>
        <v/>
      </c>
      <c r="D22" s="6" t="str">
        <f>IF('MCI Calculator'!E31="","",'MCI Calculator'!E31)</f>
        <v/>
      </c>
      <c r="E22" s="10" t="str">
        <f>IF(OR($C22="",$D22=""),"",(VLOOKUP($D22,List!$B$3:$H$62,6,FALSE)*$C22))</f>
        <v/>
      </c>
      <c r="F22" s="17" t="str">
        <f t="shared" si="0"/>
        <v/>
      </c>
      <c r="G22" s="11" t="str">
        <f>IF(OR($C22="",$D22=""),"",(VLOOKUP($D22,List!$B$3:$H$62,7,FALSE)*$C22))</f>
        <v/>
      </c>
      <c r="H22" s="17" t="str">
        <f t="shared" si="1"/>
        <v/>
      </c>
      <c r="I22" s="20">
        <f>IF('MCI Calculator'!Y31="",-10,'MCI Calculator'!Y31)</f>
        <v>-10</v>
      </c>
    </row>
    <row r="23" spans="2:9" x14ac:dyDescent="0.25">
      <c r="B23" s="5" t="str">
        <f>IF('MCI Calculator'!B32="","",'MCI Calculator'!B32)</f>
        <v/>
      </c>
      <c r="C23" s="6" t="str">
        <f>IF(OR('MCI Calculator'!C32="",'MCI Calculator'!D32=""),"",('MCI Calculator'!C32*'MCI Calculator'!D32))</f>
        <v/>
      </c>
      <c r="D23" s="6" t="str">
        <f>IF('MCI Calculator'!E32="","",'MCI Calculator'!E32)</f>
        <v/>
      </c>
      <c r="E23" s="10" t="str">
        <f>IF(OR($C23="",$D23=""),"",(VLOOKUP($D23,List!$B$3:$H$62,6,FALSE)*$C23))</f>
        <v/>
      </c>
      <c r="F23" s="17" t="str">
        <f t="shared" si="0"/>
        <v/>
      </c>
      <c r="G23" s="11" t="str">
        <f>IF(OR($C23="",$D23=""),"",(VLOOKUP($D23,List!$B$3:$H$62,7,FALSE)*$C23))</f>
        <v/>
      </c>
      <c r="H23" s="17" t="str">
        <f t="shared" si="1"/>
        <v/>
      </c>
      <c r="I23" s="20">
        <f>IF('MCI Calculator'!Y32="",-10,'MCI Calculator'!Y32)</f>
        <v>-10</v>
      </c>
    </row>
    <row r="24" spans="2:9" x14ac:dyDescent="0.25">
      <c r="B24" s="5" t="str">
        <f>IF('MCI Calculator'!B33="","",'MCI Calculator'!B33)</f>
        <v/>
      </c>
      <c r="C24" s="6" t="str">
        <f>IF(OR('MCI Calculator'!C33="",'MCI Calculator'!D33=""),"",('MCI Calculator'!C33*'MCI Calculator'!D33))</f>
        <v/>
      </c>
      <c r="D24" s="6" t="str">
        <f>IF('MCI Calculator'!E33="","",'MCI Calculator'!E33)</f>
        <v/>
      </c>
      <c r="E24" s="10" t="str">
        <f>IF(OR($C24="",$D24=""),"",(VLOOKUP($D24,List!$B$3:$H$62,6,FALSE)*$C24))</f>
        <v/>
      </c>
      <c r="F24" s="17" t="str">
        <f t="shared" si="0"/>
        <v/>
      </c>
      <c r="G24" s="11" t="str">
        <f>IF(OR($C24="",$D24=""),"",(VLOOKUP($D24,List!$B$3:$H$62,7,FALSE)*$C24))</f>
        <v/>
      </c>
      <c r="H24" s="17" t="str">
        <f t="shared" si="1"/>
        <v/>
      </c>
      <c r="I24" s="20">
        <f>IF('MCI Calculator'!Y33="",-10,'MCI Calculator'!Y33)</f>
        <v>-10</v>
      </c>
    </row>
    <row r="25" spans="2:9" x14ac:dyDescent="0.25">
      <c r="B25" s="5" t="str">
        <f>IF('MCI Calculator'!B34="","",'MCI Calculator'!B34)</f>
        <v/>
      </c>
      <c r="C25" s="6" t="str">
        <f>IF(OR('MCI Calculator'!C34="",'MCI Calculator'!D34=""),"",('MCI Calculator'!C34*'MCI Calculator'!D34))</f>
        <v/>
      </c>
      <c r="D25" s="6" t="str">
        <f>IF('MCI Calculator'!E34="","",'MCI Calculator'!E34)</f>
        <v/>
      </c>
      <c r="E25" s="10" t="str">
        <f>IF(OR($C25="",$D25=""),"",(VLOOKUP($D25,List!$B$3:$H$62,6,FALSE)*$C25))</f>
        <v/>
      </c>
      <c r="F25" s="17" t="str">
        <f t="shared" si="0"/>
        <v/>
      </c>
      <c r="G25" s="11" t="str">
        <f>IF(OR($C25="",$D25=""),"",(VLOOKUP($D25,List!$B$3:$H$62,7,FALSE)*$C25))</f>
        <v/>
      </c>
      <c r="H25" s="17" t="str">
        <f t="shared" si="1"/>
        <v/>
      </c>
      <c r="I25" s="20">
        <f>IF('MCI Calculator'!Y34="",-10,'MCI Calculator'!Y34)</f>
        <v>-10</v>
      </c>
    </row>
    <row r="26" spans="2:9" x14ac:dyDescent="0.25">
      <c r="B26" s="5" t="str">
        <f>IF('MCI Calculator'!B35="","",'MCI Calculator'!B35)</f>
        <v/>
      </c>
      <c r="C26" s="6" t="str">
        <f>IF(OR('MCI Calculator'!C35="",'MCI Calculator'!D35=""),"",('MCI Calculator'!C35*'MCI Calculator'!D35))</f>
        <v/>
      </c>
      <c r="D26" s="6" t="str">
        <f>IF('MCI Calculator'!E35="","",'MCI Calculator'!E35)</f>
        <v/>
      </c>
      <c r="E26" s="10" t="str">
        <f>IF(OR($C26="",$D26=""),"",(VLOOKUP($D26,List!$B$3:$H$62,6,FALSE)*$C26))</f>
        <v/>
      </c>
      <c r="F26" s="17" t="str">
        <f t="shared" si="0"/>
        <v/>
      </c>
      <c r="G26" s="11" t="str">
        <f>IF(OR($C26="",$D26=""),"",(VLOOKUP($D26,List!$B$3:$H$62,7,FALSE)*$C26))</f>
        <v/>
      </c>
      <c r="H26" s="17" t="str">
        <f t="shared" si="1"/>
        <v/>
      </c>
      <c r="I26" s="20">
        <f>IF('MCI Calculator'!Y35="",-10,'MCI Calculator'!Y35)</f>
        <v>-10</v>
      </c>
    </row>
    <row r="27" spans="2:9" x14ac:dyDescent="0.25">
      <c r="B27" s="5" t="str">
        <f>IF('MCI Calculator'!B36="","",'MCI Calculator'!B36)</f>
        <v/>
      </c>
      <c r="C27" s="6" t="str">
        <f>IF(OR('MCI Calculator'!C36="",'MCI Calculator'!D36=""),"",('MCI Calculator'!C36*'MCI Calculator'!D36))</f>
        <v/>
      </c>
      <c r="D27" s="6" t="str">
        <f>IF('MCI Calculator'!E36="","",'MCI Calculator'!E36)</f>
        <v/>
      </c>
      <c r="E27" s="10" t="str">
        <f>IF(OR($C27="",$D27=""),"",(VLOOKUP($D27,List!$B$3:$H$62,6,FALSE)*$C27))</f>
        <v/>
      </c>
      <c r="F27" s="17" t="str">
        <f t="shared" si="0"/>
        <v/>
      </c>
      <c r="G27" s="11" t="str">
        <f>IF(OR($C27="",$D27=""),"",(VLOOKUP($D27,List!$B$3:$H$62,7,FALSE)*$C27))</f>
        <v/>
      </c>
      <c r="H27" s="17" t="str">
        <f t="shared" si="1"/>
        <v/>
      </c>
      <c r="I27" s="20">
        <f>IF('MCI Calculator'!Y36="",-10,'MCI Calculator'!Y36)</f>
        <v>-10</v>
      </c>
    </row>
    <row r="28" spans="2:9" x14ac:dyDescent="0.25">
      <c r="B28" s="5" t="str">
        <f>IF('MCI Calculator'!B37="","",'MCI Calculator'!B37)</f>
        <v/>
      </c>
      <c r="C28" s="6" t="str">
        <f>IF(OR('MCI Calculator'!C37="",'MCI Calculator'!D37=""),"",('MCI Calculator'!C37*'MCI Calculator'!D37))</f>
        <v/>
      </c>
      <c r="D28" s="6" t="str">
        <f>IF('MCI Calculator'!E37="","",'MCI Calculator'!E37)</f>
        <v/>
      </c>
      <c r="E28" s="10" t="str">
        <f>IF(OR($C28="",$D28=""),"",(VLOOKUP($D28,List!$B$3:$H$62,6,FALSE)*$C28))</f>
        <v/>
      </c>
      <c r="F28" s="17" t="str">
        <f t="shared" si="0"/>
        <v/>
      </c>
      <c r="G28" s="11" t="str">
        <f>IF(OR($C28="",$D28=""),"",(VLOOKUP($D28,List!$B$3:$H$62,7,FALSE)*$C28))</f>
        <v/>
      </c>
      <c r="H28" s="17" t="str">
        <f t="shared" si="1"/>
        <v/>
      </c>
      <c r="I28" s="20">
        <f>IF('MCI Calculator'!Y37="",-10,'MCI Calculator'!Y37)</f>
        <v>-10</v>
      </c>
    </row>
    <row r="29" spans="2:9" x14ac:dyDescent="0.25">
      <c r="B29" s="5" t="str">
        <f>IF('MCI Calculator'!B38="","",'MCI Calculator'!B38)</f>
        <v/>
      </c>
      <c r="C29" s="6" t="str">
        <f>IF(OR('MCI Calculator'!C38="",'MCI Calculator'!D38=""),"",('MCI Calculator'!C38*'MCI Calculator'!D38))</f>
        <v/>
      </c>
      <c r="D29" s="6" t="str">
        <f>IF('MCI Calculator'!E38="","",'MCI Calculator'!E38)</f>
        <v/>
      </c>
      <c r="E29" s="10" t="str">
        <f>IF(OR($C29="",$D29=""),"",(VLOOKUP($D29,List!$B$3:$H$62,6,FALSE)*$C29))</f>
        <v/>
      </c>
      <c r="F29" s="17" t="str">
        <f t="shared" si="0"/>
        <v/>
      </c>
      <c r="G29" s="11" t="str">
        <f>IF(OR($C29="",$D29=""),"",(VLOOKUP($D29,List!$B$3:$H$62,7,FALSE)*$C29))</f>
        <v/>
      </c>
      <c r="H29" s="17" t="str">
        <f t="shared" si="1"/>
        <v/>
      </c>
      <c r="I29" s="20">
        <f>IF('MCI Calculator'!Y38="",-10,'MCI Calculator'!Y38)</f>
        <v>-10</v>
      </c>
    </row>
    <row r="30" spans="2:9" x14ac:dyDescent="0.25">
      <c r="B30" s="5" t="str">
        <f>IF('MCI Calculator'!B39="","",'MCI Calculator'!B39)</f>
        <v/>
      </c>
      <c r="C30" s="6" t="str">
        <f>IF(OR('MCI Calculator'!C39="",'MCI Calculator'!D39=""),"",('MCI Calculator'!C39*'MCI Calculator'!D39))</f>
        <v/>
      </c>
      <c r="D30" s="6" t="str">
        <f>IF('MCI Calculator'!E39="","",'MCI Calculator'!E39)</f>
        <v/>
      </c>
      <c r="E30" s="10" t="str">
        <f>IF(OR($C30="",$D30=""),"",(VLOOKUP($D30,List!$B$3:$H$62,6,FALSE)*$C30))</f>
        <v/>
      </c>
      <c r="F30" s="17" t="str">
        <f t="shared" si="0"/>
        <v/>
      </c>
      <c r="G30" s="11" t="str">
        <f>IF(OR($C30="",$D30=""),"",(VLOOKUP($D30,List!$B$3:$H$62,7,FALSE)*$C30))</f>
        <v/>
      </c>
      <c r="H30" s="17" t="str">
        <f t="shared" si="1"/>
        <v/>
      </c>
      <c r="I30" s="20">
        <f>IF('MCI Calculator'!Y39="",-10,'MCI Calculator'!Y39)</f>
        <v>-10</v>
      </c>
    </row>
    <row r="31" spans="2:9" x14ac:dyDescent="0.25">
      <c r="B31" s="5" t="str">
        <f>IF('MCI Calculator'!B40="","",'MCI Calculator'!B40)</f>
        <v/>
      </c>
      <c r="C31" s="6" t="str">
        <f>IF(OR('MCI Calculator'!C40="",'MCI Calculator'!D40=""),"",('MCI Calculator'!C40*'MCI Calculator'!D40))</f>
        <v/>
      </c>
      <c r="D31" s="6" t="str">
        <f>IF('MCI Calculator'!E40="","",'MCI Calculator'!E40)</f>
        <v/>
      </c>
      <c r="E31" s="10" t="str">
        <f>IF(OR($C31="",$D31=""),"",(VLOOKUP($D31,List!$B$3:$H$62,6,FALSE)*$C31))</f>
        <v/>
      </c>
      <c r="F31" s="17" t="str">
        <f t="shared" si="0"/>
        <v/>
      </c>
      <c r="G31" s="11" t="str">
        <f>IF(OR($C31="",$D31=""),"",(VLOOKUP($D31,List!$B$3:$H$62,7,FALSE)*$C31))</f>
        <v/>
      </c>
      <c r="H31" s="17" t="str">
        <f t="shared" si="1"/>
        <v/>
      </c>
      <c r="I31" s="20">
        <f>IF('MCI Calculator'!Y40="",-10,'MCI Calculator'!Y40)</f>
        <v>-10</v>
      </c>
    </row>
    <row r="32" spans="2:9" ht="15.75" thickBot="1" x14ac:dyDescent="0.3">
      <c r="B32" s="7" t="str">
        <f>IF('MCI Calculator'!B41="","",'MCI Calculator'!B41)</f>
        <v/>
      </c>
      <c r="C32" s="8" t="str">
        <f>IF(OR('MCI Calculator'!C41="",'MCI Calculator'!D41=""),"",('MCI Calculator'!C41*'MCI Calculator'!D41))</f>
        <v/>
      </c>
      <c r="D32" s="8" t="str">
        <f>IF('MCI Calculator'!E41="","",'MCI Calculator'!E41)</f>
        <v/>
      </c>
      <c r="E32" s="21" t="str">
        <f>IF(OR($C32="",$D32=""),"",(VLOOKUP($D32,List!$B$3:$H$62,6,FALSE)*$C32))</f>
        <v/>
      </c>
      <c r="F32" s="22" t="str">
        <f t="shared" si="0"/>
        <v/>
      </c>
      <c r="G32" s="23" t="str">
        <f>IF(OR($C32="",$D32=""),"",(VLOOKUP($D32,List!$B$3:$H$62,7,FALSE)*$C32))</f>
        <v/>
      </c>
      <c r="H32" s="22" t="str">
        <f t="shared" si="1"/>
        <v/>
      </c>
      <c r="I32" s="24">
        <f>IF('MCI Calculator'!Y41="",-10,'MCI Calculator'!Y41)</f>
        <v>-10</v>
      </c>
    </row>
    <row r="34" spans="2:2" x14ac:dyDescent="0.25">
      <c r="B34" s="1" t="s">
        <v>250</v>
      </c>
    </row>
    <row r="35" spans="2:2" x14ac:dyDescent="0.25">
      <c r="B35" s="1" t="s">
        <v>251</v>
      </c>
    </row>
    <row r="36" spans="2:2" x14ac:dyDescent="0.25">
      <c r="B36" s="1" t="s">
        <v>252</v>
      </c>
    </row>
    <row r="37" spans="2:2" x14ac:dyDescent="0.25">
      <c r="B37" s="1" t="s">
        <v>253</v>
      </c>
    </row>
  </sheetData>
  <sheetProtection algorithmName="SHA-512" hashValue="dOPMZjHUzZEmismfA2gKuDCTxQ75k0n8kdfLvOnK5rT03/LaoF40Ine4dQ78qCB1yM411qjtPwNPcvm4O37ysg==" saltValue="tqN51O/b7Db1oW+tuBDHnA==" spinCount="100000" sheet="1" objects="1" scenarios="1" selectLockedCells="1" selectUnlockedCells="1"/>
  <conditionalFormatting sqref="I3:I32">
    <cfRule type="cellIs" dxfId="0" priority="1" operator="equal">
      <formula>-10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6E884-90AF-FF47-B83C-354D9D5B56C1}">
  <dimension ref="B1:R76"/>
  <sheetViews>
    <sheetView showGridLines="0" zoomScaleNormal="150" zoomScaleSheetLayoutView="100" workbookViewId="0">
      <selection activeCell="B52" sqref="B52"/>
    </sheetView>
  </sheetViews>
  <sheetFormatPr defaultColWidth="8.85546875" defaultRowHeight="18.75" x14ac:dyDescent="0.4"/>
  <cols>
    <col min="1" max="1" width="8.85546875" style="44"/>
    <col min="2" max="2" width="36" style="44" bestFit="1" customWidth="1"/>
    <col min="3" max="3" width="21.85546875" style="44" customWidth="1"/>
    <col min="4" max="4" width="19.28515625" style="44" customWidth="1"/>
    <col min="5" max="5" width="9.28515625" style="44" bestFit="1" customWidth="1"/>
    <col min="6" max="6" width="15.42578125" style="44" bestFit="1" customWidth="1"/>
    <col min="7" max="7" width="18.28515625" style="44" bestFit="1" customWidth="1"/>
    <col min="8" max="8" width="15.140625" style="44" customWidth="1"/>
    <col min="9" max="9" width="8.85546875" style="44"/>
    <col min="10" max="10" width="25" style="44" customWidth="1"/>
    <col min="11" max="11" width="12.28515625" style="44" bestFit="1" customWidth="1"/>
    <col min="12" max="12" width="18.42578125" style="44" customWidth="1"/>
    <col min="13" max="13" width="26.140625" style="44" customWidth="1"/>
    <col min="14" max="14" width="27.42578125" style="44" customWidth="1"/>
    <col min="15" max="16" width="8.85546875" style="44"/>
    <col min="17" max="17" width="10.85546875" style="44" customWidth="1"/>
    <col min="18" max="18" width="8.85546875" style="44"/>
    <col min="19" max="19" width="24.42578125" style="44" bestFit="1" customWidth="1"/>
    <col min="20" max="20" width="5.140625" style="44" bestFit="1" customWidth="1"/>
    <col min="21" max="21" width="9.85546875" style="44" bestFit="1" customWidth="1"/>
    <col min="22" max="16384" width="8.85546875" style="44"/>
  </cols>
  <sheetData>
    <row r="1" spans="2:18" ht="19.5" thickBot="1" x14ac:dyDescent="0.45">
      <c r="Q1" s="214"/>
    </row>
    <row r="2" spans="2:18" ht="19.5" thickBot="1" x14ac:dyDescent="0.45">
      <c r="B2" s="224" t="s">
        <v>14</v>
      </c>
      <c r="C2" s="225" t="s">
        <v>15</v>
      </c>
      <c r="D2" s="225" t="s">
        <v>16</v>
      </c>
      <c r="E2" s="225" t="s">
        <v>46</v>
      </c>
      <c r="F2" s="226" t="s">
        <v>43</v>
      </c>
      <c r="G2" s="225" t="s">
        <v>33</v>
      </c>
      <c r="H2" s="227" t="s">
        <v>32</v>
      </c>
      <c r="J2" s="223" t="s">
        <v>17</v>
      </c>
      <c r="Q2" s="214"/>
      <c r="R2" s="214"/>
    </row>
    <row r="3" spans="2:18" x14ac:dyDescent="0.4">
      <c r="B3" s="228" t="str">
        <f>'MCI Calculator'!B71</f>
        <v>ABS</v>
      </c>
      <c r="C3" s="229">
        <f>IF(B3="","",IF('MCI Calculator'!D71="",'MCI Calculator'!C71,'MCI Calculator'!D71))</f>
        <v>0.05</v>
      </c>
      <c r="D3" s="229">
        <f>IF(B3="","",IF('MCI Calculator'!F71="",'MCI Calculator'!E71,'MCI Calculator'!F71))</f>
        <v>0.05</v>
      </c>
      <c r="E3" s="230" t="s">
        <v>45</v>
      </c>
      <c r="F3" s="231" t="s">
        <v>45</v>
      </c>
      <c r="G3" s="232">
        <f>IF(B3="","",IF('MCI Calculator'!H71="",'MCI Calculator'!G71,'MCI Calculator'!H71))</f>
        <v>3.2</v>
      </c>
      <c r="H3" s="233">
        <f>IF(B3="","",IF('MCI Calculator'!J71="",'MCI Calculator'!I71,'MCI Calculator'!J71))</f>
        <v>1.2</v>
      </c>
      <c r="J3" s="250" t="s">
        <v>12</v>
      </c>
      <c r="Q3" s="215"/>
      <c r="R3" s="216"/>
    </row>
    <row r="4" spans="2:18" x14ac:dyDescent="0.4">
      <c r="B4" s="234" t="str">
        <f>'MCI Calculator'!B72</f>
        <v>Bioplastics</v>
      </c>
      <c r="C4" s="235">
        <f>IF(B4="","",IF('MCI Calculator'!D72="",'MCI Calculator'!C72,'MCI Calculator'!D72))</f>
        <v>0</v>
      </c>
      <c r="D4" s="235">
        <f>IF(B4="","",IF('MCI Calculator'!F72="",'MCI Calculator'!E72,'MCI Calculator'!F72))</f>
        <v>0</v>
      </c>
      <c r="E4" s="236" t="s">
        <v>44</v>
      </c>
      <c r="F4" s="237" t="s">
        <v>44</v>
      </c>
      <c r="G4" s="238">
        <f>IF(B4="","",IF('MCI Calculator'!H72="",'MCI Calculator'!G72,'MCI Calculator'!H72))</f>
        <v>3.2</v>
      </c>
      <c r="H4" s="239">
        <f>IF(B4="","",IF('MCI Calculator'!J72="",'MCI Calculator'!I72,'MCI Calculator'!J72))</f>
        <v>4</v>
      </c>
      <c r="J4" s="251" t="s">
        <v>19</v>
      </c>
      <c r="Q4" s="217"/>
      <c r="R4" s="218"/>
    </row>
    <row r="5" spans="2:18" x14ac:dyDescent="0.4">
      <c r="B5" s="234" t="str">
        <f>'MCI Calculator'!B73</f>
        <v>EPS</v>
      </c>
      <c r="C5" s="235">
        <f>IF(B5="","",IF('MCI Calculator'!D73="",'MCI Calculator'!C73,'MCI Calculator'!D73))</f>
        <v>0</v>
      </c>
      <c r="D5" s="235">
        <f>IF(B5="","",IF('MCI Calculator'!F73="",'MCI Calculator'!E73,'MCI Calculator'!F73))</f>
        <v>0</v>
      </c>
      <c r="E5" s="236" t="s">
        <v>45</v>
      </c>
      <c r="F5" s="237" t="s">
        <v>45</v>
      </c>
      <c r="G5" s="238">
        <f>IF(B5="","",IF('MCI Calculator'!H73="",'MCI Calculator'!G73,'MCI Calculator'!H73))</f>
        <v>3.1</v>
      </c>
      <c r="H5" s="239">
        <f>IF(B5="","",IF('MCI Calculator'!J73="",'MCI Calculator'!I73,'MCI Calculator'!J73))</f>
        <v>1.3</v>
      </c>
      <c r="J5" s="251" t="s">
        <v>13</v>
      </c>
      <c r="Q5" s="217"/>
      <c r="R5" s="218"/>
    </row>
    <row r="6" spans="2:18" ht="19.5" thickBot="1" x14ac:dyDescent="0.45">
      <c r="B6" s="234" t="str">
        <f>'MCI Calculator'!B74</f>
        <v>HDPE</v>
      </c>
      <c r="C6" s="235">
        <f>IF(B6="","",IF('MCI Calculator'!D74="",'MCI Calculator'!C74,'MCI Calculator'!D74))</f>
        <v>0.1</v>
      </c>
      <c r="D6" s="235">
        <f>IF(B6="","",IF('MCI Calculator'!F74="",'MCI Calculator'!E74,'MCI Calculator'!F74))</f>
        <v>0.2</v>
      </c>
      <c r="E6" s="236" t="s">
        <v>45</v>
      </c>
      <c r="F6" s="237" t="s">
        <v>45</v>
      </c>
      <c r="G6" s="238">
        <f>IF(B6="","",IF('MCI Calculator'!H74="",'MCI Calculator'!G74,'MCI Calculator'!H74))</f>
        <v>1.9000000000000001</v>
      </c>
      <c r="H6" s="239">
        <f>IF(B6="","",IF('MCI Calculator'!J74="",'MCI Calculator'!I74,'MCI Calculator'!J74))</f>
        <v>1.2</v>
      </c>
      <c r="J6" s="251" t="s">
        <v>20</v>
      </c>
      <c r="Q6" s="217"/>
      <c r="R6" s="218"/>
    </row>
    <row r="7" spans="2:18" ht="19.5" thickBot="1" x14ac:dyDescent="0.45">
      <c r="B7" s="234" t="str">
        <f>'MCI Calculator'!B75</f>
        <v>LDPE</v>
      </c>
      <c r="C7" s="235">
        <f>IF(B7="","",IF('MCI Calculator'!D75="",'MCI Calculator'!C75,'MCI Calculator'!D75))</f>
        <v>0.01</v>
      </c>
      <c r="D7" s="235">
        <f>IF(B7="","",IF('MCI Calculator'!F75="",'MCI Calculator'!E75,'MCI Calculator'!F75))</f>
        <v>0.05</v>
      </c>
      <c r="E7" s="236" t="s">
        <v>45</v>
      </c>
      <c r="F7" s="237" t="s">
        <v>45</v>
      </c>
      <c r="G7" s="238">
        <f>IF(B7="","",IF('MCI Calculator'!H75="",'MCI Calculator'!G75,'MCI Calculator'!H75))</f>
        <v>2.1</v>
      </c>
      <c r="H7" s="239">
        <f>IF(B7="","",IF('MCI Calculator'!J75="",'MCI Calculator'!I75,'MCI Calculator'!J75))</f>
        <v>1</v>
      </c>
      <c r="J7" s="252"/>
      <c r="L7" s="219" t="s">
        <v>186</v>
      </c>
      <c r="Q7" s="217"/>
      <c r="R7" s="218"/>
    </row>
    <row r="8" spans="2:18" x14ac:dyDescent="0.4">
      <c r="B8" s="234" t="str">
        <f>'MCI Calculator'!B76</f>
        <v>Nylon</v>
      </c>
      <c r="C8" s="235">
        <f>IF(B8="","",IF('MCI Calculator'!D76="",'MCI Calculator'!C76,'MCI Calculator'!D76))</f>
        <v>0.05</v>
      </c>
      <c r="D8" s="235">
        <f>IF(B8="","",IF('MCI Calculator'!F76="",'MCI Calculator'!E76,'MCI Calculator'!F76))</f>
        <v>0.05</v>
      </c>
      <c r="E8" s="236" t="s">
        <v>45</v>
      </c>
      <c r="F8" s="237" t="s">
        <v>45</v>
      </c>
      <c r="G8" s="238">
        <f>IF(B8="","",IF('MCI Calculator'!H76="",'MCI Calculator'!G76,'MCI Calculator'!H76))</f>
        <v>7.2</v>
      </c>
      <c r="H8" s="239">
        <f>IF(B8="","",IF('MCI Calculator'!J76="",'MCI Calculator'!I76,'MCI Calculator'!J76))</f>
        <v>3.5</v>
      </c>
      <c r="L8" s="253" t="s">
        <v>55</v>
      </c>
      <c r="Q8" s="217"/>
      <c r="R8" s="218"/>
    </row>
    <row r="9" spans="2:18" x14ac:dyDescent="0.4">
      <c r="B9" s="234" t="str">
        <f>'MCI Calculator'!B77</f>
        <v>PET (Clear)</v>
      </c>
      <c r="C9" s="235">
        <f>IF(B9="","",IF('MCI Calculator'!D77="",'MCI Calculator'!C77,'MCI Calculator'!D77))</f>
        <v>0.15</v>
      </c>
      <c r="D9" s="235">
        <f>IF(B9="","",IF('MCI Calculator'!F77="",'MCI Calculator'!E77,'MCI Calculator'!F77))</f>
        <v>0.25</v>
      </c>
      <c r="E9" s="236" t="s">
        <v>45</v>
      </c>
      <c r="F9" s="237" t="s">
        <v>45</v>
      </c>
      <c r="G9" s="238">
        <f>IF(B9="","",IF('MCI Calculator'!H77="",'MCI Calculator'!G77,'MCI Calculator'!H77))</f>
        <v>2.5</v>
      </c>
      <c r="H9" s="239">
        <f>IF(B9="","",IF('MCI Calculator'!J77="",'MCI Calculator'!I77,'MCI Calculator'!J77))</f>
        <v>1.3</v>
      </c>
      <c r="L9" s="254" t="s">
        <v>50</v>
      </c>
      <c r="Q9" s="217"/>
      <c r="R9" s="218"/>
    </row>
    <row r="10" spans="2:18" x14ac:dyDescent="0.4">
      <c r="B10" s="234" t="str">
        <f>'MCI Calculator'!B78</f>
        <v>PET (Coloured)</v>
      </c>
      <c r="C10" s="235">
        <f>IF(B10="","",IF('MCI Calculator'!D78="",'MCI Calculator'!C78,'MCI Calculator'!D78))</f>
        <v>0.15</v>
      </c>
      <c r="D10" s="235">
        <f>IF(B10="","",IF('MCI Calculator'!F78="",'MCI Calculator'!E78,'MCI Calculator'!F78))</f>
        <v>0.05</v>
      </c>
      <c r="E10" s="236" t="s">
        <v>45</v>
      </c>
      <c r="F10" s="237" t="s">
        <v>45</v>
      </c>
      <c r="G10" s="238">
        <f>IF(B10="","",IF('MCI Calculator'!H78="",'MCI Calculator'!G78,'MCI Calculator'!H78))</f>
        <v>2.5</v>
      </c>
      <c r="H10" s="239">
        <f>IF(B10="","",IF('MCI Calculator'!J78="",'MCI Calculator'!I78,'MCI Calculator'!J78))</f>
        <v>1.1000000000000001</v>
      </c>
      <c r="L10" s="254" t="s">
        <v>52</v>
      </c>
      <c r="Q10" s="217"/>
      <c r="R10" s="218"/>
    </row>
    <row r="11" spans="2:18" x14ac:dyDescent="0.4">
      <c r="B11" s="234" t="str">
        <f>'MCI Calculator'!B79</f>
        <v>Polycarbonate</v>
      </c>
      <c r="C11" s="235">
        <f>IF(B11="","",IF('MCI Calculator'!D79="",'MCI Calculator'!C79,'MCI Calculator'!D79))</f>
        <v>0</v>
      </c>
      <c r="D11" s="235">
        <f>IF(B11="","",IF('MCI Calculator'!F79="",'MCI Calculator'!E79,'MCI Calculator'!F79))</f>
        <v>0.05</v>
      </c>
      <c r="E11" s="236" t="s">
        <v>45</v>
      </c>
      <c r="F11" s="237" t="s">
        <v>45</v>
      </c>
      <c r="G11" s="238">
        <f>IF(B11="","",IF('MCI Calculator'!H79="",'MCI Calculator'!G79,'MCI Calculator'!H79))</f>
        <v>4.3</v>
      </c>
      <c r="H11" s="239">
        <f>IF(B11="","",IF('MCI Calculator'!J79="",'MCI Calculator'!I79,'MCI Calculator'!J79))</f>
        <v>3</v>
      </c>
      <c r="L11" s="254" t="s">
        <v>56</v>
      </c>
      <c r="Q11" s="217"/>
      <c r="R11" s="218"/>
    </row>
    <row r="12" spans="2:18" ht="19.5" thickBot="1" x14ac:dyDescent="0.45">
      <c r="B12" s="234" t="str">
        <f>'MCI Calculator'!B80</f>
        <v>PP</v>
      </c>
      <c r="C12" s="235">
        <f>IF(B12="","",IF('MCI Calculator'!D80="",'MCI Calculator'!C80,'MCI Calculator'!D80))</f>
        <v>0.05</v>
      </c>
      <c r="D12" s="235">
        <f>IF(B12="","",IF('MCI Calculator'!F80="",'MCI Calculator'!E80,'MCI Calculator'!F80))</f>
        <v>0.1</v>
      </c>
      <c r="E12" s="240" t="s">
        <v>45</v>
      </c>
      <c r="F12" s="241" t="s">
        <v>45</v>
      </c>
      <c r="G12" s="238">
        <f>IF(B12="","",IF('MCI Calculator'!H80="",'MCI Calculator'!G80,'MCI Calculator'!H80))</f>
        <v>2.1</v>
      </c>
      <c r="H12" s="239">
        <f>IF(B12="","",IF('MCI Calculator'!J80="",'MCI Calculator'!I80,'MCI Calculator'!J80))</f>
        <v>1.2</v>
      </c>
      <c r="L12" s="255" t="s">
        <v>57</v>
      </c>
      <c r="Q12" s="215"/>
      <c r="R12" s="216"/>
    </row>
    <row r="13" spans="2:18" ht="19.5" thickBot="1" x14ac:dyDescent="0.45">
      <c r="B13" s="234" t="str">
        <f>'MCI Calculator'!B81</f>
        <v>PS</v>
      </c>
      <c r="C13" s="235">
        <f>IF(B13="","",IF('MCI Calculator'!D81="",'MCI Calculator'!C81,'MCI Calculator'!D81))</f>
        <v>0</v>
      </c>
      <c r="D13" s="235">
        <f>IF(B13="","",IF('MCI Calculator'!F81="",'MCI Calculator'!E81,'MCI Calculator'!F81))</f>
        <v>0.05</v>
      </c>
      <c r="E13" s="240" t="s">
        <v>45</v>
      </c>
      <c r="F13" s="241" t="s">
        <v>45</v>
      </c>
      <c r="G13" s="238">
        <f>IF(B13="","",IF('MCI Calculator'!H81="",'MCI Calculator'!G81,'MCI Calculator'!H81))</f>
        <v>2.6</v>
      </c>
      <c r="H13" s="239">
        <f>IF(B13="","",IF('MCI Calculator'!J81="",'MCI Calculator'!I81,'MCI Calculator'!J81))</f>
        <v>1.2</v>
      </c>
      <c r="Q13" s="217"/>
      <c r="R13" s="218"/>
    </row>
    <row r="14" spans="2:18" ht="19.5" thickBot="1" x14ac:dyDescent="0.45">
      <c r="B14" s="234" t="str">
        <f>'MCI Calculator'!B82</f>
        <v>PVC</v>
      </c>
      <c r="C14" s="235">
        <f>IF(B14="","",IF('MCI Calculator'!D82="",'MCI Calculator'!C82,'MCI Calculator'!D82))</f>
        <v>0</v>
      </c>
      <c r="D14" s="235">
        <f>IF(B14="","",IF('MCI Calculator'!F82="",'MCI Calculator'!E82,'MCI Calculator'!F82))</f>
        <v>0.05</v>
      </c>
      <c r="E14" s="240" t="s">
        <v>45</v>
      </c>
      <c r="F14" s="241" t="s">
        <v>45</v>
      </c>
      <c r="G14" s="238">
        <f>IF(B14="","",IF('MCI Calculator'!H82="",'MCI Calculator'!G82,'MCI Calculator'!H82))</f>
        <v>2.9000000000000004</v>
      </c>
      <c r="H14" s="239">
        <f>IF(B14="","",IF('MCI Calculator'!J82="",'MCI Calculator'!I82,'MCI Calculator'!J82))</f>
        <v>1</v>
      </c>
      <c r="J14" s="222" t="s">
        <v>21</v>
      </c>
      <c r="Q14" s="217"/>
      <c r="R14" s="218"/>
    </row>
    <row r="15" spans="2:18" x14ac:dyDescent="0.4">
      <c r="B15" s="234" t="str">
        <f>'MCI Calculator'!B83</f>
        <v>Silicone</v>
      </c>
      <c r="C15" s="235">
        <f>IF(B15="","",IF('MCI Calculator'!D83="",'MCI Calculator'!C83,'MCI Calculator'!D83))</f>
        <v>0</v>
      </c>
      <c r="D15" s="235">
        <f>IF(B15="","",IF('MCI Calculator'!F83="",'MCI Calculator'!E83,'MCI Calculator'!F83))</f>
        <v>0</v>
      </c>
      <c r="E15" s="240" t="s">
        <v>45</v>
      </c>
      <c r="F15" s="241" t="s">
        <v>45</v>
      </c>
      <c r="G15" s="238">
        <f>IF(B15="","",IF('MCI Calculator'!H83="",'MCI Calculator'!G83,'MCI Calculator'!H83))</f>
        <v>7.4</v>
      </c>
      <c r="H15" s="239">
        <f>IF(B15="","",IF('MCI Calculator'!J83="",'MCI Calculator'!I83,'MCI Calculator'!J83))</f>
        <v>6</v>
      </c>
      <c r="J15" s="256" t="s">
        <v>12</v>
      </c>
      <c r="Q15" s="217"/>
      <c r="R15" s="218"/>
    </row>
    <row r="16" spans="2:18" x14ac:dyDescent="0.4">
      <c r="B16" s="234" t="str">
        <f>'MCI Calculator'!B84</f>
        <v>Steel</v>
      </c>
      <c r="C16" s="235">
        <f>IF(B16="","",IF('MCI Calculator'!D84="",'MCI Calculator'!C84,'MCI Calculator'!D84))</f>
        <v>0.35</v>
      </c>
      <c r="D16" s="235">
        <f>IF(B16="","",IF('MCI Calculator'!F84="",'MCI Calculator'!E84,'MCI Calculator'!F84))</f>
        <v>0.8</v>
      </c>
      <c r="E16" s="240" t="s">
        <v>45</v>
      </c>
      <c r="F16" s="241" t="s">
        <v>45</v>
      </c>
      <c r="G16" s="238">
        <f>IF(B16="","",IF('MCI Calculator'!H84="",'MCI Calculator'!G84,'MCI Calculator'!H84))</f>
        <v>1.8</v>
      </c>
      <c r="H16" s="239">
        <f>IF(B16="","",IF('MCI Calculator'!J84="",'MCI Calculator'!I84,'MCI Calculator'!J84))</f>
        <v>0.44</v>
      </c>
      <c r="J16" s="251" t="s">
        <v>19</v>
      </c>
      <c r="Q16" s="217"/>
      <c r="R16" s="218"/>
    </row>
    <row r="17" spans="2:18" x14ac:dyDescent="0.4">
      <c r="B17" s="234" t="str">
        <f>'MCI Calculator'!B85</f>
        <v>Aluminium</v>
      </c>
      <c r="C17" s="235">
        <f>IF(B17="","",IF('MCI Calculator'!D85="",'MCI Calculator'!C85,'MCI Calculator'!D85))</f>
        <v>0.36</v>
      </c>
      <c r="D17" s="235">
        <f>IF(B17="","",IF('MCI Calculator'!F85="",'MCI Calculator'!E85,'MCI Calculator'!F85))</f>
        <v>0.8</v>
      </c>
      <c r="E17" s="240" t="s">
        <v>45</v>
      </c>
      <c r="F17" s="241" t="s">
        <v>45</v>
      </c>
      <c r="G17" s="238">
        <f>IF(B17="","",IF('MCI Calculator'!H85="",'MCI Calculator'!G85,'MCI Calculator'!H85))</f>
        <v>10</v>
      </c>
      <c r="H17" s="239">
        <f>IF(B17="","",IF('MCI Calculator'!J85="",'MCI Calculator'!I85,'MCI Calculator'!J85))</f>
        <v>2.2999999999999998</v>
      </c>
      <c r="J17" s="251" t="s">
        <v>13</v>
      </c>
      <c r="Q17" s="217"/>
      <c r="R17" s="218"/>
    </row>
    <row r="18" spans="2:18" x14ac:dyDescent="0.4">
      <c r="B18" s="234" t="str">
        <f>'MCI Calculator'!B86</f>
        <v>Brass/Bronze</v>
      </c>
      <c r="C18" s="235">
        <f>IF(B18="","",IF('MCI Calculator'!D86="",'MCI Calculator'!C86,'MCI Calculator'!D86))</f>
        <v>0.8</v>
      </c>
      <c r="D18" s="235">
        <f>IF(B18="","",IF('MCI Calculator'!F86="",'MCI Calculator'!E86,'MCI Calculator'!F86))</f>
        <v>0.9</v>
      </c>
      <c r="E18" s="240" t="s">
        <v>45</v>
      </c>
      <c r="F18" s="241" t="s">
        <v>45</v>
      </c>
      <c r="G18" s="238">
        <f>IF(B18="","",IF('MCI Calculator'!H86="",'MCI Calculator'!G86,'MCI Calculator'!H86))</f>
        <v>1.2000000000000002</v>
      </c>
      <c r="H18" s="239">
        <f>IF(B18="","",IF('MCI Calculator'!J86="",'MCI Calculator'!I86,'MCI Calculator'!J86))</f>
        <v>8.42</v>
      </c>
      <c r="J18" s="251" t="s">
        <v>22</v>
      </c>
      <c r="Q18" s="217"/>
      <c r="R18" s="218"/>
    </row>
    <row r="19" spans="2:18" x14ac:dyDescent="0.4">
      <c r="B19" s="234" t="str">
        <f>'MCI Calculator'!B87</f>
        <v>Copper</v>
      </c>
      <c r="C19" s="235">
        <f>IF(B19="","",IF('MCI Calculator'!D87="",'MCI Calculator'!C87,'MCI Calculator'!D87))</f>
        <v>0.32</v>
      </c>
      <c r="D19" s="235">
        <f>IF(B19="","",IF('MCI Calculator'!F87="",'MCI Calculator'!E87,'MCI Calculator'!F87))</f>
        <v>0.6</v>
      </c>
      <c r="E19" s="240" t="s">
        <v>45</v>
      </c>
      <c r="F19" s="241" t="s">
        <v>45</v>
      </c>
      <c r="G19" s="238">
        <f>IF(B19="","",IF('MCI Calculator'!H87="",'MCI Calculator'!G87,'MCI Calculator'!H87))</f>
        <v>4.0999999999999996</v>
      </c>
      <c r="H19" s="239">
        <f>IF(B19="","",IF('MCI Calculator'!J87="",'MCI Calculator'!I87,'MCI Calculator'!J87))</f>
        <v>8.9600000000000009</v>
      </c>
      <c r="J19" s="251" t="s">
        <v>23</v>
      </c>
      <c r="Q19" s="217"/>
      <c r="R19" s="218"/>
    </row>
    <row r="20" spans="2:18" ht="19.5" thickBot="1" x14ac:dyDescent="0.45">
      <c r="B20" s="234" t="str">
        <f>'MCI Calculator'!B88</f>
        <v>Lead</v>
      </c>
      <c r="C20" s="235">
        <f>IF(B20="","",IF('MCI Calculator'!D88="",'MCI Calculator'!C88,'MCI Calculator'!D88))</f>
        <v>0.6</v>
      </c>
      <c r="D20" s="235">
        <f>IF(B20="","",IF('MCI Calculator'!F88="",'MCI Calculator'!E88,'MCI Calculator'!F88))</f>
        <v>0.6</v>
      </c>
      <c r="E20" s="240" t="s">
        <v>45</v>
      </c>
      <c r="F20" s="241" t="s">
        <v>45</v>
      </c>
      <c r="G20" s="238">
        <f>IF(B20="","",IF('MCI Calculator'!H88="",'MCI Calculator'!G88,'MCI Calculator'!H88))</f>
        <v>1.3</v>
      </c>
      <c r="H20" s="239">
        <f>IF(B20="","",IF('MCI Calculator'!J88="",'MCI Calculator'!I88,'MCI Calculator'!J88))</f>
        <v>2.0499999999999998</v>
      </c>
      <c r="J20" s="252" t="s">
        <v>24</v>
      </c>
    </row>
    <row r="21" spans="2:18" x14ac:dyDescent="0.4">
      <c r="B21" s="234" t="str">
        <f>'MCI Calculator'!B89</f>
        <v>Nickel</v>
      </c>
      <c r="C21" s="235">
        <f>IF(B21="","",IF('MCI Calculator'!D89="",'MCI Calculator'!C89,'MCI Calculator'!D89))</f>
        <v>0.35</v>
      </c>
      <c r="D21" s="235">
        <f>IF(B21="","",IF('MCI Calculator'!F89="",'MCI Calculator'!E89,'MCI Calculator'!F89))</f>
        <v>0.60000000000000009</v>
      </c>
      <c r="E21" s="240" t="s">
        <v>45</v>
      </c>
      <c r="F21" s="241" t="s">
        <v>45</v>
      </c>
      <c r="G21" s="238">
        <f>IF(B21="","",IF('MCI Calculator'!H89="",'MCI Calculator'!G89,'MCI Calculator'!H89))</f>
        <v>10</v>
      </c>
      <c r="H21" s="239">
        <f>IF(B21="","",IF('MCI Calculator'!J89="",'MCI Calculator'!I89,'MCI Calculator'!J89))</f>
        <v>15.88</v>
      </c>
      <c r="Q21" s="217"/>
      <c r="R21" s="218"/>
    </row>
    <row r="22" spans="2:18" x14ac:dyDescent="0.4">
      <c r="B22" s="234" t="str">
        <f>'MCI Calculator'!B90</f>
        <v>Rare Earth Elements</v>
      </c>
      <c r="C22" s="235">
        <f>IF(B22="","",IF('MCI Calculator'!D90="",'MCI Calculator'!C90,'MCI Calculator'!D90))</f>
        <v>0.01</v>
      </c>
      <c r="D22" s="235">
        <f>IF(B22="","",IF('MCI Calculator'!F90="",'MCI Calculator'!E90,'MCI Calculator'!F90))</f>
        <v>0.01</v>
      </c>
      <c r="E22" s="240" t="s">
        <v>45</v>
      </c>
      <c r="F22" s="241" t="s">
        <v>45</v>
      </c>
      <c r="G22" s="238">
        <f>IF(B22="","",IF('MCI Calculator'!H90="",'MCI Calculator'!G90,'MCI Calculator'!H90))</f>
        <v>50</v>
      </c>
      <c r="H22" s="239">
        <f>IF(B22="","",IF('MCI Calculator'!J90="",'MCI Calculator'!I90,'MCI Calculator'!J90))</f>
        <v>150</v>
      </c>
      <c r="Q22" s="215"/>
      <c r="R22" s="215"/>
    </row>
    <row r="23" spans="2:18" x14ac:dyDescent="0.4">
      <c r="B23" s="234" t="str">
        <f>'MCI Calculator'!B91</f>
        <v>Zinc</v>
      </c>
      <c r="C23" s="235">
        <f>IF(B23="","",IF('MCI Calculator'!D91="",'MCI Calculator'!C91,'MCI Calculator'!D91))</f>
        <v>0.2</v>
      </c>
      <c r="D23" s="235">
        <f>IF(B23="","",IF('MCI Calculator'!F91="",'MCI Calculator'!E91,'MCI Calculator'!F91))</f>
        <v>0.6</v>
      </c>
      <c r="E23" s="240" t="s">
        <v>45</v>
      </c>
      <c r="F23" s="241" t="s">
        <v>45</v>
      </c>
      <c r="G23" s="238">
        <f>IF(B23="","",IF('MCI Calculator'!H91="",'MCI Calculator'!G91,'MCI Calculator'!H91))</f>
        <v>2.7</v>
      </c>
      <c r="H23" s="239">
        <f>IF(B23="","",IF('MCI Calculator'!J91="",'MCI Calculator'!I91,'MCI Calculator'!J91))</f>
        <v>2.68</v>
      </c>
      <c r="Q23" s="217"/>
      <c r="R23" s="218"/>
    </row>
    <row r="24" spans="2:18" x14ac:dyDescent="0.4">
      <c r="B24" s="234" t="str">
        <f>'MCI Calculator'!B92</f>
        <v>Paper</v>
      </c>
      <c r="C24" s="235">
        <f>IF(B24="","",IF('MCI Calculator'!D92="",'MCI Calculator'!C92,'MCI Calculator'!D92))</f>
        <v>0.5</v>
      </c>
      <c r="D24" s="235">
        <f>IF(B24="","",IF('MCI Calculator'!F92="",'MCI Calculator'!E92,'MCI Calculator'!F92))</f>
        <v>0.5</v>
      </c>
      <c r="E24" s="240" t="s">
        <v>44</v>
      </c>
      <c r="F24" s="241" t="s">
        <v>44</v>
      </c>
      <c r="G24" s="238">
        <f>IF(B24="","",IF('MCI Calculator'!H92="",'MCI Calculator'!G92,'MCI Calculator'!H92))</f>
        <v>1.7000000000000002</v>
      </c>
      <c r="H24" s="239">
        <f>IF(B24="","",IF('MCI Calculator'!J92="",'MCI Calculator'!I92,'MCI Calculator'!J92))</f>
        <v>1.05</v>
      </c>
      <c r="Q24" s="217"/>
      <c r="R24" s="218"/>
    </row>
    <row r="25" spans="2:18" x14ac:dyDescent="0.4">
      <c r="B25" s="234" t="str">
        <f>'MCI Calculator'!B93</f>
        <v>Cardboard</v>
      </c>
      <c r="C25" s="235">
        <f>IF(B25="","",IF('MCI Calculator'!D93="",'MCI Calculator'!C93,'MCI Calculator'!D93))</f>
        <v>0.5</v>
      </c>
      <c r="D25" s="235">
        <f>IF(B25="","",IF('MCI Calculator'!F93="",'MCI Calculator'!E93,'MCI Calculator'!F93))</f>
        <v>0.8</v>
      </c>
      <c r="E25" s="240" t="s">
        <v>44</v>
      </c>
      <c r="F25" s="241" t="s">
        <v>44</v>
      </c>
      <c r="G25" s="238">
        <f>IF(B25="","",IF('MCI Calculator'!H93="",'MCI Calculator'!G93,'MCI Calculator'!H93))</f>
        <v>1.7000000000000002</v>
      </c>
      <c r="H25" s="239">
        <f>IF(B25="","",IF('MCI Calculator'!J93="",'MCI Calculator'!I93,'MCI Calculator'!J93))</f>
        <v>0.36</v>
      </c>
      <c r="Q25" s="217"/>
      <c r="R25" s="218"/>
    </row>
    <row r="26" spans="2:18" ht="19.5" thickBot="1" x14ac:dyDescent="0.45">
      <c r="B26" s="234" t="str">
        <f>'MCI Calculator'!B94</f>
        <v>MDF</v>
      </c>
      <c r="C26" s="235">
        <f>IF(B26="","",IF('MCI Calculator'!D94="",'MCI Calculator'!C94,'MCI Calculator'!D94))</f>
        <v>0</v>
      </c>
      <c r="D26" s="235">
        <f>IF(B26="","",IF('MCI Calculator'!F94="",'MCI Calculator'!E94,'MCI Calculator'!F94))</f>
        <v>0</v>
      </c>
      <c r="E26" s="240" t="s">
        <v>44</v>
      </c>
      <c r="F26" s="241" t="s">
        <v>44</v>
      </c>
      <c r="G26" s="238">
        <f>IF(B26="","",IF('MCI Calculator'!H94="",'MCI Calculator'!G94,'MCI Calculator'!H94))</f>
        <v>1.3</v>
      </c>
      <c r="H26" s="239">
        <f>IF(B26="","",IF('MCI Calculator'!J94="",'MCI Calculator'!I94,'MCI Calculator'!J94))</f>
        <v>0.7</v>
      </c>
      <c r="Q26" s="217"/>
      <c r="R26" s="218"/>
    </row>
    <row r="27" spans="2:18" ht="19.5" thickBot="1" x14ac:dyDescent="0.45">
      <c r="B27" s="234" t="str">
        <f>'MCI Calculator'!B95</f>
        <v>Timber</v>
      </c>
      <c r="C27" s="235">
        <f>IF(B27="","",IF('MCI Calculator'!D95="",'MCI Calculator'!C95,'MCI Calculator'!D95))</f>
        <v>0</v>
      </c>
      <c r="D27" s="235">
        <f>IF(B27="","",IF('MCI Calculator'!F95="",'MCI Calculator'!E95,'MCI Calculator'!F95))</f>
        <v>0.1</v>
      </c>
      <c r="E27" s="240" t="s">
        <v>44</v>
      </c>
      <c r="F27" s="241" t="s">
        <v>44</v>
      </c>
      <c r="G27" s="238">
        <f>IF(B27="","",IF('MCI Calculator'!H95="",'MCI Calculator'!G95,'MCI Calculator'!H95))</f>
        <v>0.30000000000000004</v>
      </c>
      <c r="H27" s="239">
        <f>IF(B27="","",IF('MCI Calculator'!J95="",'MCI Calculator'!I95,'MCI Calculator'!J95))</f>
        <v>3.5</v>
      </c>
      <c r="J27" s="220" t="s">
        <v>59</v>
      </c>
      <c r="K27" s="221" t="s">
        <v>59</v>
      </c>
      <c r="Q27" s="217"/>
      <c r="R27" s="218"/>
    </row>
    <row r="28" spans="2:18" x14ac:dyDescent="0.4">
      <c r="B28" s="234" t="str">
        <f>'MCI Calculator'!B96</f>
        <v>Asphalt</v>
      </c>
      <c r="C28" s="235">
        <f>IF(B28="","",IF('MCI Calculator'!D96="",'MCI Calculator'!C96,'MCI Calculator'!D96))</f>
        <v>0.1</v>
      </c>
      <c r="D28" s="235">
        <f>IF(B28="","",IF('MCI Calculator'!F96="",'MCI Calculator'!E96,'MCI Calculator'!F96))</f>
        <v>0.9</v>
      </c>
      <c r="E28" s="240" t="s">
        <v>45</v>
      </c>
      <c r="F28" s="241" t="s">
        <v>45</v>
      </c>
      <c r="G28" s="238">
        <f>IF(B28="","",IF('MCI Calculator'!H96="",'MCI Calculator'!G96,'MCI Calculator'!H96))</f>
        <v>0.08</v>
      </c>
      <c r="H28" s="239">
        <f>IF(B28="","",IF('MCI Calculator'!J96="",'MCI Calculator'!I96,'MCI Calculator'!J96))</f>
        <v>0.2</v>
      </c>
      <c r="J28" s="257" t="s">
        <v>60</v>
      </c>
      <c r="K28" s="258" t="s">
        <v>67</v>
      </c>
      <c r="Q28" s="217"/>
      <c r="R28" s="218"/>
    </row>
    <row r="29" spans="2:18" x14ac:dyDescent="0.4">
      <c r="B29" s="234" t="str">
        <f>'MCI Calculator'!B97</f>
        <v>Ceramics</v>
      </c>
      <c r="C29" s="235">
        <f>IF(B29="","",IF('MCI Calculator'!D97="",'MCI Calculator'!C97,'MCI Calculator'!D97))</f>
        <v>0</v>
      </c>
      <c r="D29" s="235">
        <f>IF(B29="","",IF('MCI Calculator'!F97="",'MCI Calculator'!E97,'MCI Calculator'!F97))</f>
        <v>0.02</v>
      </c>
      <c r="E29" s="240" t="s">
        <v>45</v>
      </c>
      <c r="F29" s="241" t="s">
        <v>45</v>
      </c>
      <c r="G29" s="238">
        <f>IF(B29="","",IF('MCI Calculator'!H97="",'MCI Calculator'!G97,'MCI Calculator'!H97))</f>
        <v>1.6</v>
      </c>
      <c r="H29" s="239">
        <f>IF(B29="","",IF('MCI Calculator'!J97="",'MCI Calculator'!I97,'MCI Calculator'!J97))</f>
        <v>2</v>
      </c>
      <c r="J29" s="259" t="s">
        <v>61</v>
      </c>
      <c r="K29" s="260" t="s">
        <v>68</v>
      </c>
      <c r="Q29" s="217"/>
      <c r="R29" s="218"/>
    </row>
    <row r="30" spans="2:18" x14ac:dyDescent="0.4">
      <c r="B30" s="234" t="str">
        <f>'MCI Calculator'!B98</f>
        <v>Concrete</v>
      </c>
      <c r="C30" s="235">
        <f>IF(B30="","",IF('MCI Calculator'!D98="",'MCI Calculator'!C98,'MCI Calculator'!D98))</f>
        <v>0.01</v>
      </c>
      <c r="D30" s="235">
        <f>IF(B30="","",IF('MCI Calculator'!F98="",'MCI Calculator'!E98,'MCI Calculator'!F98))</f>
        <v>0.1</v>
      </c>
      <c r="E30" s="240" t="s">
        <v>45</v>
      </c>
      <c r="F30" s="241" t="s">
        <v>45</v>
      </c>
      <c r="G30" s="238">
        <f>IF(B30="","",IF('MCI Calculator'!H98="",'MCI Calculator'!G98,'MCI Calculator'!H98))</f>
        <v>0.1</v>
      </c>
      <c r="H30" s="239">
        <f>IF(B30="","",IF('MCI Calculator'!J98="",'MCI Calculator'!I98,'MCI Calculator'!J98))</f>
        <v>0.14000000000000001</v>
      </c>
      <c r="J30" s="259" t="s">
        <v>62</v>
      </c>
      <c r="K30" s="260" t="s">
        <v>69</v>
      </c>
      <c r="Q30" s="217"/>
      <c r="R30" s="218"/>
    </row>
    <row r="31" spans="2:18" x14ac:dyDescent="0.4">
      <c r="B31" s="234" t="str">
        <f>'MCI Calculator'!B99</f>
        <v>Glass</v>
      </c>
      <c r="C31" s="235">
        <f>IF(B31="","",IF('MCI Calculator'!D99="",'MCI Calculator'!C99,'MCI Calculator'!D99))</f>
        <v>0.2</v>
      </c>
      <c r="D31" s="235">
        <f>IF(B31="","",IF('MCI Calculator'!F99="",'MCI Calculator'!E99,'MCI Calculator'!F99))</f>
        <v>0.25</v>
      </c>
      <c r="E31" s="240" t="s">
        <v>45</v>
      </c>
      <c r="F31" s="241" t="s">
        <v>45</v>
      </c>
      <c r="G31" s="238">
        <f>IF(B31="","",IF('MCI Calculator'!H99="",'MCI Calculator'!G99,'MCI Calculator'!H99))</f>
        <v>1.1000000000000001</v>
      </c>
      <c r="H31" s="239">
        <f>IF(B31="","",IF('MCI Calculator'!J99="",'MCI Calculator'!I99,'MCI Calculator'!J99))</f>
        <v>1.2</v>
      </c>
      <c r="J31" s="259" t="s">
        <v>63</v>
      </c>
      <c r="K31" s="260" t="s">
        <v>120</v>
      </c>
      <c r="Q31" s="217"/>
      <c r="R31" s="218"/>
    </row>
    <row r="32" spans="2:18" x14ac:dyDescent="0.4">
      <c r="B32" s="234" t="str">
        <f>'MCI Calculator'!B100</f>
        <v>Gypsum</v>
      </c>
      <c r="C32" s="235">
        <f>IF(B32="","",IF('MCI Calculator'!D100="",'MCI Calculator'!C100,'MCI Calculator'!D100))</f>
        <v>0.05</v>
      </c>
      <c r="D32" s="235">
        <f>IF(B32="","",IF('MCI Calculator'!F100="",'MCI Calculator'!E100,'MCI Calculator'!F100))</f>
        <v>0.5</v>
      </c>
      <c r="E32" s="240" t="s">
        <v>45</v>
      </c>
      <c r="F32" s="241" t="s">
        <v>45</v>
      </c>
      <c r="G32" s="238">
        <f>IF(B32="","",IF('MCI Calculator'!H100="",'MCI Calculator'!G100,'MCI Calculator'!H100))</f>
        <v>0.4</v>
      </c>
      <c r="H32" s="239">
        <f>IF(B32="","",IF('MCI Calculator'!J100="",'MCI Calculator'!I100,'MCI Calculator'!J100))</f>
        <v>0.4</v>
      </c>
      <c r="J32" s="259" t="s">
        <v>64</v>
      </c>
      <c r="K32" s="260" t="s">
        <v>70</v>
      </c>
      <c r="Q32" s="217"/>
      <c r="R32" s="218"/>
    </row>
    <row r="33" spans="2:18" x14ac:dyDescent="0.4">
      <c r="B33" s="234" t="str">
        <f>'MCI Calculator'!B101</f>
        <v>Carbon Fiber</v>
      </c>
      <c r="C33" s="235">
        <f>IF(B33="","",IF('MCI Calculator'!D101="",'MCI Calculator'!C101,'MCI Calculator'!D101))</f>
        <v>0</v>
      </c>
      <c r="D33" s="235">
        <f>IF(B33="","",IF('MCI Calculator'!F101="",'MCI Calculator'!E101,'MCI Calculator'!F101))</f>
        <v>0</v>
      </c>
      <c r="E33" s="240" t="s">
        <v>45</v>
      </c>
      <c r="F33" s="241" t="s">
        <v>45</v>
      </c>
      <c r="G33" s="238">
        <f>IF(B33="","",IF('MCI Calculator'!H101="",'MCI Calculator'!G101,'MCI Calculator'!H101))</f>
        <v>32</v>
      </c>
      <c r="H33" s="239">
        <f>IF(B33="","",IF('MCI Calculator'!J101="",'MCI Calculator'!I101,'MCI Calculator'!J101))</f>
        <v>50</v>
      </c>
      <c r="J33" s="259" t="s">
        <v>65</v>
      </c>
      <c r="K33" s="260" t="s">
        <v>71</v>
      </c>
      <c r="Q33" s="217"/>
      <c r="R33" s="218"/>
    </row>
    <row r="34" spans="2:18" ht="19.5" thickBot="1" x14ac:dyDescent="0.45">
      <c r="B34" s="234" t="str">
        <f>'MCI Calculator'!B102</f>
        <v>Composites</v>
      </c>
      <c r="C34" s="235">
        <f>IF(B34="","",IF('MCI Calculator'!D102="",'MCI Calculator'!C102,'MCI Calculator'!D102))</f>
        <v>0</v>
      </c>
      <c r="D34" s="235">
        <f>IF(B34="","",IF('MCI Calculator'!F102="",'MCI Calculator'!E102,'MCI Calculator'!F102))</f>
        <v>0</v>
      </c>
      <c r="E34" s="240" t="s">
        <v>45</v>
      </c>
      <c r="F34" s="241" t="s">
        <v>45</v>
      </c>
      <c r="G34" s="238">
        <f>IF(B34="","",IF('MCI Calculator'!H102="",'MCI Calculator'!G102,'MCI Calculator'!H102))</f>
        <v>6.5</v>
      </c>
      <c r="H34" s="239">
        <f>IF(B34="","",IF('MCI Calculator'!J102="",'MCI Calculator'!I102,'MCI Calculator'!J102))</f>
        <v>2</v>
      </c>
      <c r="J34" s="261" t="s">
        <v>66</v>
      </c>
      <c r="K34" s="262" t="s">
        <v>72</v>
      </c>
      <c r="Q34" s="217"/>
      <c r="R34" s="218"/>
    </row>
    <row r="35" spans="2:18" x14ac:dyDescent="0.4">
      <c r="B35" s="234" t="str">
        <f>'MCI Calculator'!B103</f>
        <v>Fiberglass</v>
      </c>
      <c r="C35" s="235">
        <f>IF(B35="","",IF('MCI Calculator'!D103="",'MCI Calculator'!C103,'MCI Calculator'!D103))</f>
        <v>0.1</v>
      </c>
      <c r="D35" s="235">
        <f>IF(B35="","",IF('MCI Calculator'!F103="",'MCI Calculator'!E103,'MCI Calculator'!F103))</f>
        <v>0</v>
      </c>
      <c r="E35" s="240" t="s">
        <v>45</v>
      </c>
      <c r="F35" s="241" t="s">
        <v>45</v>
      </c>
      <c r="G35" s="238">
        <f>IF(B35="","",IF('MCI Calculator'!H103="",'MCI Calculator'!G103,'MCI Calculator'!H103))</f>
        <v>3.6</v>
      </c>
      <c r="H35" s="239">
        <f>IF(B35="","",IF('MCI Calculator'!J103="",'MCI Calculator'!I103,'MCI Calculator'!J103))</f>
        <v>3.5</v>
      </c>
      <c r="Q35" s="217"/>
      <c r="R35" s="218"/>
    </row>
    <row r="36" spans="2:18" x14ac:dyDescent="0.4">
      <c r="B36" s="234" t="str">
        <f>'MCI Calculator'!B104</f>
        <v>Cotton</v>
      </c>
      <c r="C36" s="235">
        <f>IF(B36="","",IF('MCI Calculator'!D104="",'MCI Calculator'!C104,'MCI Calculator'!D104))</f>
        <v>0.01</v>
      </c>
      <c r="D36" s="235">
        <f>IF(B36="","",IF('MCI Calculator'!F104="",'MCI Calculator'!E104,'MCI Calculator'!F104))</f>
        <v>0.05</v>
      </c>
      <c r="E36" s="240" t="s">
        <v>44</v>
      </c>
      <c r="F36" s="241" t="s">
        <v>44</v>
      </c>
      <c r="G36" s="238">
        <f>IF(B36="","",IF('MCI Calculator'!H104="",'MCI Calculator'!G104,'MCI Calculator'!H104))</f>
        <v>4.9000000000000004</v>
      </c>
      <c r="H36" s="239">
        <f>IF(B36="","",IF('MCI Calculator'!J104="",'MCI Calculator'!I104,'MCI Calculator'!J104))</f>
        <v>1.48</v>
      </c>
      <c r="Q36" s="215"/>
      <c r="R36" s="215"/>
    </row>
    <row r="37" spans="2:18" x14ac:dyDescent="0.4">
      <c r="B37" s="234" t="str">
        <f>'MCI Calculator'!B105</f>
        <v>Leather</v>
      </c>
      <c r="C37" s="235">
        <f>IF(B37="","",IF('MCI Calculator'!D105="",'MCI Calculator'!C105,'MCI Calculator'!D105))</f>
        <v>0</v>
      </c>
      <c r="D37" s="235">
        <f>IF(B37="","",IF('MCI Calculator'!F105="",'MCI Calculator'!E105,'MCI Calculator'!F105))</f>
        <v>0</v>
      </c>
      <c r="E37" s="240" t="s">
        <v>44</v>
      </c>
      <c r="F37" s="241" t="s">
        <v>44</v>
      </c>
      <c r="G37" s="238">
        <f>IF(B37="","",IF('MCI Calculator'!H105="",'MCI Calculator'!G105,'MCI Calculator'!H105))</f>
        <v>20</v>
      </c>
      <c r="H37" s="239">
        <f>IF(B37="","",IF('MCI Calculator'!J105="",'MCI Calculator'!I105,'MCI Calculator'!J105))</f>
        <v>50</v>
      </c>
      <c r="Q37" s="217"/>
      <c r="R37" s="218"/>
    </row>
    <row r="38" spans="2:18" x14ac:dyDescent="0.4">
      <c r="B38" s="234" t="str">
        <f>'MCI Calculator'!B106</f>
        <v>Linen</v>
      </c>
      <c r="C38" s="235">
        <f>IF(B38="","",IF('MCI Calculator'!D106="",'MCI Calculator'!C106,'MCI Calculator'!D106))</f>
        <v>0.01</v>
      </c>
      <c r="D38" s="235">
        <f>IF(B38="","",IF('MCI Calculator'!F106="",'MCI Calculator'!E106,'MCI Calculator'!F106))</f>
        <v>0.05</v>
      </c>
      <c r="E38" s="240" t="s">
        <v>44</v>
      </c>
      <c r="F38" s="241" t="s">
        <v>44</v>
      </c>
      <c r="G38" s="238">
        <f>IF(B38="","",IF('MCI Calculator'!H106="",'MCI Calculator'!G106,'MCI Calculator'!H106))</f>
        <v>4.9000000000000004</v>
      </c>
      <c r="H38" s="239">
        <f>IF(B38="","",IF('MCI Calculator'!J106="",'MCI Calculator'!I106,'MCI Calculator'!J106))</f>
        <v>30</v>
      </c>
      <c r="Q38" s="217"/>
      <c r="R38" s="218"/>
    </row>
    <row r="39" spans="2:18" x14ac:dyDescent="0.4">
      <c r="B39" s="234" t="str">
        <f>'MCI Calculator'!B107</f>
        <v>Polyester</v>
      </c>
      <c r="C39" s="235">
        <f>IF(B39="","",IF('MCI Calculator'!D107="",'MCI Calculator'!C107,'MCI Calculator'!D107))</f>
        <v>0.15</v>
      </c>
      <c r="D39" s="235">
        <f>IF(B39="","",IF('MCI Calculator'!F107="",'MCI Calculator'!E107,'MCI Calculator'!F107))</f>
        <v>0.05</v>
      </c>
      <c r="E39" s="240" t="s">
        <v>45</v>
      </c>
      <c r="F39" s="241" t="s">
        <v>45</v>
      </c>
      <c r="G39" s="238">
        <f>IF(B39="","",IF('MCI Calculator'!H107="",'MCI Calculator'!G107,'MCI Calculator'!H107))</f>
        <v>4.5</v>
      </c>
      <c r="H39" s="239">
        <f>IF(B39="","",IF('MCI Calculator'!J107="",'MCI Calculator'!I107,'MCI Calculator'!J107))</f>
        <v>4</v>
      </c>
      <c r="Q39" s="217"/>
      <c r="R39" s="218"/>
    </row>
    <row r="40" spans="2:18" x14ac:dyDescent="0.4">
      <c r="B40" s="234" t="str">
        <f>'MCI Calculator'!B108</f>
        <v>Wool</v>
      </c>
      <c r="C40" s="235">
        <f>IF(B40="","",IF('MCI Calculator'!D108="",'MCI Calculator'!C108,'MCI Calculator'!D108))</f>
        <v>0</v>
      </c>
      <c r="D40" s="235">
        <f>IF(B40="","",IF('MCI Calculator'!F108="",'MCI Calculator'!E108,'MCI Calculator'!F108))</f>
        <v>0.05</v>
      </c>
      <c r="E40" s="240" t="s">
        <v>44</v>
      </c>
      <c r="F40" s="241" t="s">
        <v>44</v>
      </c>
      <c r="G40" s="238">
        <f>IF(B40="","",IF('MCI Calculator'!H108="",'MCI Calculator'!G108,'MCI Calculator'!H108))</f>
        <v>25</v>
      </c>
      <c r="H40" s="239">
        <f>IF(B40="","",IF('MCI Calculator'!J108="",'MCI Calculator'!I108,'MCI Calculator'!J108))</f>
        <v>9.44</v>
      </c>
      <c r="Q40" s="217"/>
      <c r="R40" s="218"/>
    </row>
    <row r="41" spans="2:18" x14ac:dyDescent="0.4">
      <c r="B41" s="234" t="str">
        <f>'MCI Calculator'!B109</f>
        <v>PCB Assembly</v>
      </c>
      <c r="C41" s="235">
        <f>IF(B41="","",IF('MCI Calculator'!D109="",'MCI Calculator'!C109,'MCI Calculator'!D109))</f>
        <v>0</v>
      </c>
      <c r="D41" s="235">
        <f>IF(B41="","",IF('MCI Calculator'!F109="",'MCI Calculator'!E109,'MCI Calculator'!F109))</f>
        <v>0.05</v>
      </c>
      <c r="E41" s="240" t="s">
        <v>45</v>
      </c>
      <c r="F41" s="241" t="s">
        <v>45</v>
      </c>
      <c r="G41" s="238">
        <f>IF(B41="","",IF('MCI Calculator'!H109="",'MCI Calculator'!G109,'MCI Calculator'!H109))</f>
        <v>200</v>
      </c>
      <c r="H41" s="239">
        <f>IF(B41="","",IF('MCI Calculator'!J109="",'MCI Calculator'!I109,'MCI Calculator'!J109))</f>
        <v>300</v>
      </c>
      <c r="Q41" s="217"/>
      <c r="R41" s="218"/>
    </row>
    <row r="42" spans="2:18" x14ac:dyDescent="0.4">
      <c r="B42" s="234" t="str">
        <f>'MCI Calculator'!B110</f>
        <v>LED Light bulbs</v>
      </c>
      <c r="C42" s="235">
        <f>IF(B42="","",IF('MCI Calculator'!D110="",'MCI Calculator'!C110,'MCI Calculator'!D110))</f>
        <v>0</v>
      </c>
      <c r="D42" s="235">
        <f>IF(B42="","",IF('MCI Calculator'!F110="",'MCI Calculator'!E110,'MCI Calculator'!F110))</f>
        <v>0.05</v>
      </c>
      <c r="E42" s="240" t="s">
        <v>45</v>
      </c>
      <c r="F42" s="241" t="s">
        <v>45</v>
      </c>
      <c r="G42" s="238">
        <f>IF(B42="","",IF('MCI Calculator'!H110="",'MCI Calculator'!G110,'MCI Calculator'!H110))</f>
        <v>60</v>
      </c>
      <c r="H42" s="239">
        <f>IF(B42="","",IF('MCI Calculator'!J110="",'MCI Calculator'!I110,'MCI Calculator'!J110))</f>
        <v>20</v>
      </c>
      <c r="Q42" s="217"/>
      <c r="R42" s="218"/>
    </row>
    <row r="43" spans="2:18" x14ac:dyDescent="0.4">
      <c r="B43" s="234" t="str">
        <f>'MCI Calculator'!B111</f>
        <v>Batteries</v>
      </c>
      <c r="C43" s="235">
        <f>IF(B43="","",IF('MCI Calculator'!D111="",'MCI Calculator'!C111,'MCI Calculator'!D111))</f>
        <v>0.05</v>
      </c>
      <c r="D43" s="235">
        <f>IF(B43="","",IF('MCI Calculator'!F111="",'MCI Calculator'!E111,'MCI Calculator'!F111))</f>
        <v>0.05</v>
      </c>
      <c r="E43" s="240" t="s">
        <v>45</v>
      </c>
      <c r="F43" s="241" t="s">
        <v>45</v>
      </c>
      <c r="G43" s="238">
        <f>IF(B43="","",IF('MCI Calculator'!H111="",'MCI Calculator'!G111,'MCI Calculator'!H111))</f>
        <v>20</v>
      </c>
      <c r="H43" s="239">
        <f>IF(B43="","",IF('MCI Calculator'!J111="",'MCI Calculator'!I111,'MCI Calculator'!J111))</f>
        <v>200</v>
      </c>
      <c r="Q43" s="217"/>
      <c r="R43" s="218"/>
    </row>
    <row r="44" spans="2:18" x14ac:dyDescent="0.4">
      <c r="B44" s="234" t="str">
        <f>'MCI Calculator'!B112</f>
        <v>Tyres</v>
      </c>
      <c r="C44" s="235">
        <f>IF(B44="","",IF('MCI Calculator'!D112="",'MCI Calculator'!C112,'MCI Calculator'!D112))</f>
        <v>0</v>
      </c>
      <c r="D44" s="235">
        <f>IF(B44="","",IF('MCI Calculator'!F112="",'MCI Calculator'!E112,'MCI Calculator'!F112))</f>
        <v>0.1</v>
      </c>
      <c r="E44" s="240" t="s">
        <v>45</v>
      </c>
      <c r="F44" s="241" t="s">
        <v>45</v>
      </c>
      <c r="G44" s="238">
        <f>IF(B44="","",IF('MCI Calculator'!H112="",'MCI Calculator'!G112,'MCI Calculator'!H112))</f>
        <v>3.1</v>
      </c>
      <c r="H44" s="239">
        <f>IF(B44="","",IF('MCI Calculator'!J112="",'MCI Calculator'!I112,'MCI Calculator'!J112))</f>
        <v>2.5</v>
      </c>
      <c r="Q44" s="217"/>
      <c r="R44" s="218"/>
    </row>
    <row r="45" spans="2:18" x14ac:dyDescent="0.4">
      <c r="B45" s="234" t="str">
        <f>'MCI Calculator'!B113</f>
        <v>Fossil Fuels</v>
      </c>
      <c r="C45" s="235">
        <f>IF(B45="","",IF('MCI Calculator'!D113="",'MCI Calculator'!C113,'MCI Calculator'!D113))</f>
        <v>0</v>
      </c>
      <c r="D45" s="235">
        <f>IF(B45="","",IF('MCI Calculator'!F113="",'MCI Calculator'!E113,'MCI Calculator'!F113))</f>
        <v>0</v>
      </c>
      <c r="E45" s="240" t="s">
        <v>45</v>
      </c>
      <c r="F45" s="241" t="s">
        <v>45</v>
      </c>
      <c r="G45" s="238">
        <f>IF(B45="","",IF('MCI Calculator'!H113="",'MCI Calculator'!G113,'MCI Calculator'!H113))</f>
        <v>3.8000000000000003</v>
      </c>
      <c r="H45" s="239">
        <f>IF(B45="","",IF('MCI Calculator'!J113="",'MCI Calculator'!I113,'MCI Calculator'!J113))</f>
        <v>1.4</v>
      </c>
      <c r="Q45" s="215"/>
      <c r="R45" s="215"/>
    </row>
    <row r="46" spans="2:18" x14ac:dyDescent="0.4">
      <c r="B46" s="234" t="str">
        <f>'MCI Calculator'!B114</f>
        <v>Biofuels</v>
      </c>
      <c r="C46" s="235">
        <f>IF(B46="","",IF('MCI Calculator'!D114="",'MCI Calculator'!C114,'MCI Calculator'!D114))</f>
        <v>0</v>
      </c>
      <c r="D46" s="235">
        <f>IF(B46="","",IF('MCI Calculator'!F114="",'MCI Calculator'!E114,'MCI Calculator'!F114))</f>
        <v>0</v>
      </c>
      <c r="E46" s="240" t="s">
        <v>44</v>
      </c>
      <c r="F46" s="241" t="s">
        <v>44</v>
      </c>
      <c r="G46" s="238">
        <f>IF(B46="","",IF('MCI Calculator'!H114="",'MCI Calculator'!G114,'MCI Calculator'!H114))</f>
        <v>1.6</v>
      </c>
      <c r="H46" s="239">
        <f>IF(B46="","",IF('MCI Calculator'!J114="",'MCI Calculator'!I114,'MCI Calculator'!J114))</f>
        <v>1.4</v>
      </c>
      <c r="Q46" s="217"/>
      <c r="R46" s="218"/>
    </row>
    <row r="47" spans="2:18" x14ac:dyDescent="0.4">
      <c r="B47" s="234" t="str">
        <f>'MCI Calculator'!B115</f>
        <v>Fertilisers</v>
      </c>
      <c r="C47" s="235">
        <f>IF(B47="","",IF('MCI Calculator'!D115="",'MCI Calculator'!C115,'MCI Calculator'!D115))</f>
        <v>0</v>
      </c>
      <c r="D47" s="235">
        <f>IF(B47="","",IF('MCI Calculator'!F115="",'MCI Calculator'!E115,'MCI Calculator'!F115))</f>
        <v>0</v>
      </c>
      <c r="E47" s="240" t="s">
        <v>45</v>
      </c>
      <c r="F47" s="241" t="s">
        <v>45</v>
      </c>
      <c r="G47" s="238">
        <f>IF(B47="","",IF('MCI Calculator'!H115="",'MCI Calculator'!G115,'MCI Calculator'!H115))</f>
        <v>1.1000000000000001</v>
      </c>
      <c r="H47" s="239">
        <f>IF(B47="","",IF('MCI Calculator'!J115="",'MCI Calculator'!I115,'MCI Calculator'!J115))</f>
        <v>0.5</v>
      </c>
      <c r="Q47" s="217"/>
      <c r="R47" s="218"/>
    </row>
    <row r="48" spans="2:18" x14ac:dyDescent="0.4">
      <c r="B48" s="234" t="str">
        <f>'MCI Calculator'!B116</f>
        <v>Water</v>
      </c>
      <c r="C48" s="235">
        <f>IF(B48="","",IF('MCI Calculator'!D116="",'MCI Calculator'!C116,'MCI Calculator'!D116))</f>
        <v>0</v>
      </c>
      <c r="D48" s="235">
        <f>IF(B48="","",IF('MCI Calculator'!F116="",'MCI Calculator'!E116,'MCI Calculator'!F116))</f>
        <v>0.2</v>
      </c>
      <c r="E48" s="240" t="s">
        <v>44</v>
      </c>
      <c r="F48" s="241" t="s">
        <v>45</v>
      </c>
      <c r="G48" s="238">
        <f>IF(B48="","",IF('MCI Calculator'!H116="",'MCI Calculator'!G116,'MCI Calculator'!H116))</f>
        <v>1E-4</v>
      </c>
      <c r="H48" s="239">
        <f>IF(B48="","",IF('MCI Calculator'!J116="",'MCI Calculator'!I116,'MCI Calculator'!J116))</f>
        <v>1.4000000000000001E-4</v>
      </c>
      <c r="Q48" s="217"/>
      <c r="R48" s="218"/>
    </row>
    <row r="49" spans="2:18" x14ac:dyDescent="0.4">
      <c r="B49" s="234"/>
      <c r="C49" s="235" t="str">
        <f>IF(B49="","",IF('MCI Calculator'!D117="",'MCI Calculator'!C117,'MCI Calculator'!D117))</f>
        <v/>
      </c>
      <c r="D49" s="235" t="str">
        <f>IF(B49="","",IF('MCI Calculator'!F117="",'MCI Calculator'!E117,'MCI Calculator'!F117))</f>
        <v/>
      </c>
      <c r="E49" s="240"/>
      <c r="F49" s="241"/>
      <c r="G49" s="238" t="str">
        <f>IF(B49="","",IF('MCI Calculator'!H117="",'MCI Calculator'!G117,'MCI Calculator'!H117))</f>
        <v/>
      </c>
      <c r="H49" s="239" t="str">
        <f>IF(B49="","",IF('MCI Calculator'!J117="",'MCI Calculator'!I117,'MCI Calculator'!J117))</f>
        <v/>
      </c>
      <c r="Q49" s="217"/>
      <c r="R49" s="218"/>
    </row>
    <row r="50" spans="2:18" x14ac:dyDescent="0.4">
      <c r="B50" s="234"/>
      <c r="C50" s="235" t="str">
        <f>IF(B50="","",IF('MCI Calculator'!D118="",'MCI Calculator'!C118,'MCI Calculator'!D118))</f>
        <v/>
      </c>
      <c r="D50" s="235" t="str">
        <f>IF(B50="","",IF('MCI Calculator'!F118="",'MCI Calculator'!E118,'MCI Calculator'!F118))</f>
        <v/>
      </c>
      <c r="E50" s="240"/>
      <c r="F50" s="241"/>
      <c r="G50" s="238" t="str">
        <f>IF(B50="","",IF('MCI Calculator'!H118="",'MCI Calculator'!G118,'MCI Calculator'!H118))</f>
        <v/>
      </c>
      <c r="H50" s="239" t="str">
        <f>IF(B50="","",IF('MCI Calculator'!J118="",'MCI Calculator'!I118,'MCI Calculator'!J118))</f>
        <v/>
      </c>
      <c r="Q50" s="217"/>
      <c r="R50" s="218"/>
    </row>
    <row r="51" spans="2:18" x14ac:dyDescent="0.4">
      <c r="B51" s="234"/>
      <c r="C51" s="235" t="str">
        <f>IF(B51="","",IF('MCI Calculator'!D119="",'MCI Calculator'!C119,'MCI Calculator'!D119))</f>
        <v/>
      </c>
      <c r="D51" s="235" t="str">
        <f>IF(B51="","",IF('MCI Calculator'!F119="",'MCI Calculator'!E119,'MCI Calculator'!F119))</f>
        <v/>
      </c>
      <c r="E51" s="242"/>
      <c r="F51" s="243"/>
      <c r="G51" s="238" t="str">
        <f>IF(B51="","",IF('MCI Calculator'!H119="",'MCI Calculator'!G119,'MCI Calculator'!H119))</f>
        <v/>
      </c>
      <c r="H51" s="239" t="str">
        <f>IF(B51="","",IF('MCI Calculator'!J119="",'MCI Calculator'!I119,'MCI Calculator'!J119))</f>
        <v/>
      </c>
      <c r="Q51" s="217"/>
      <c r="R51" s="218"/>
    </row>
    <row r="52" spans="2:18" x14ac:dyDescent="0.4">
      <c r="B52" s="234"/>
      <c r="C52" s="235" t="str">
        <f>IF(B52="","",IF('MCI Calculator'!D120="",'MCI Calculator'!C120,'MCI Calculator'!D120))</f>
        <v/>
      </c>
      <c r="D52" s="235" t="str">
        <f>IF(B52="","",IF('MCI Calculator'!F120="",'MCI Calculator'!E120,'MCI Calculator'!F120))</f>
        <v/>
      </c>
      <c r="E52" s="242"/>
      <c r="F52" s="243"/>
      <c r="G52" s="238" t="str">
        <f>IF(B52="","",IF('MCI Calculator'!H120="",'MCI Calculator'!G120,'MCI Calculator'!H120))</f>
        <v/>
      </c>
      <c r="H52" s="239" t="str">
        <f>IF(B52="","",IF('MCI Calculator'!J120="",'MCI Calculator'!I120,'MCI Calculator'!J120))</f>
        <v/>
      </c>
      <c r="Q52" s="217"/>
      <c r="R52" s="218"/>
    </row>
    <row r="53" spans="2:18" x14ac:dyDescent="0.4">
      <c r="B53" s="234"/>
      <c r="C53" s="235" t="str">
        <f>IF(B53="","",IF('MCI Calculator'!D121="",'MCI Calculator'!C121,'MCI Calculator'!D121))</f>
        <v/>
      </c>
      <c r="D53" s="235" t="str">
        <f>IF(B53="","",IF('MCI Calculator'!F121="",'MCI Calculator'!E121,'MCI Calculator'!F121))</f>
        <v/>
      </c>
      <c r="E53" s="242"/>
      <c r="F53" s="243"/>
      <c r="G53" s="238" t="str">
        <f>IF(B53="","",IF('MCI Calculator'!H121="",'MCI Calculator'!G121,'MCI Calculator'!H121))</f>
        <v/>
      </c>
      <c r="H53" s="239" t="str">
        <f>IF(B53="","",IF('MCI Calculator'!J121="",'MCI Calculator'!I121,'MCI Calculator'!J121))</f>
        <v/>
      </c>
      <c r="Q53" s="217"/>
      <c r="R53" s="218"/>
    </row>
    <row r="54" spans="2:18" x14ac:dyDescent="0.4">
      <c r="B54" s="234"/>
      <c r="C54" s="235" t="str">
        <f>IF(B54="","",IF('MCI Calculator'!D122="",'MCI Calculator'!C122,'MCI Calculator'!D122))</f>
        <v/>
      </c>
      <c r="D54" s="235" t="str">
        <f>IF(B54="","",IF('MCI Calculator'!F122="",'MCI Calculator'!E122,'MCI Calculator'!F122))</f>
        <v/>
      </c>
      <c r="E54" s="242"/>
      <c r="F54" s="243"/>
      <c r="G54" s="238" t="str">
        <f>IF(B54="","",IF('MCI Calculator'!H122="",'MCI Calculator'!G122,'MCI Calculator'!H122))</f>
        <v/>
      </c>
      <c r="H54" s="239" t="str">
        <f>IF(B54="","",IF('MCI Calculator'!J122="",'MCI Calculator'!I122,'MCI Calculator'!J122))</f>
        <v/>
      </c>
      <c r="Q54" s="217"/>
      <c r="R54" s="218"/>
    </row>
    <row r="55" spans="2:18" x14ac:dyDescent="0.4">
      <c r="B55" s="234"/>
      <c r="C55" s="235" t="str">
        <f>IF(B55="","",IF('MCI Calculator'!D123="",'MCI Calculator'!C123,'MCI Calculator'!D123))</f>
        <v/>
      </c>
      <c r="D55" s="235" t="str">
        <f>IF(B55="","",IF('MCI Calculator'!F123="",'MCI Calculator'!E123,'MCI Calculator'!F123))</f>
        <v/>
      </c>
      <c r="E55" s="242"/>
      <c r="F55" s="243"/>
      <c r="G55" s="238" t="str">
        <f>IF(B55="","",IF('MCI Calculator'!H123="",'MCI Calculator'!G123,'MCI Calculator'!H123))</f>
        <v/>
      </c>
      <c r="H55" s="239" t="str">
        <f>IF(B55="","",IF('MCI Calculator'!J123="",'MCI Calculator'!I123,'MCI Calculator'!J123))</f>
        <v/>
      </c>
      <c r="Q55" s="217"/>
      <c r="R55" s="218"/>
    </row>
    <row r="56" spans="2:18" x14ac:dyDescent="0.4">
      <c r="B56" s="234"/>
      <c r="C56" s="235" t="str">
        <f>IF(B56="","",IF('MCI Calculator'!D124="",'MCI Calculator'!C124,'MCI Calculator'!D124))</f>
        <v/>
      </c>
      <c r="D56" s="235" t="str">
        <f>IF(B56="","",IF('MCI Calculator'!F124="",'MCI Calculator'!E124,'MCI Calculator'!F124))</f>
        <v/>
      </c>
      <c r="E56" s="242"/>
      <c r="F56" s="243"/>
      <c r="G56" s="238" t="str">
        <f>IF(B56="","",IF('MCI Calculator'!H124="",'MCI Calculator'!G124,'MCI Calculator'!H124))</f>
        <v/>
      </c>
      <c r="H56" s="239" t="str">
        <f>IF(B56="","",IF('MCI Calculator'!J124="",'MCI Calculator'!I124,'MCI Calculator'!J124))</f>
        <v/>
      </c>
      <c r="Q56" s="217"/>
      <c r="R56" s="218"/>
    </row>
    <row r="57" spans="2:18" x14ac:dyDescent="0.4">
      <c r="B57" s="234"/>
      <c r="C57" s="235" t="str">
        <f>IF(B57="","",IF('MCI Calculator'!D125="",'MCI Calculator'!C125,'MCI Calculator'!D125))</f>
        <v/>
      </c>
      <c r="D57" s="235" t="str">
        <f>IF(B57="","",IF('MCI Calculator'!F125="",'MCI Calculator'!E125,'MCI Calculator'!F125))</f>
        <v/>
      </c>
      <c r="E57" s="242"/>
      <c r="F57" s="243"/>
      <c r="G57" s="238" t="str">
        <f>IF(B57="","",IF('MCI Calculator'!H125="",'MCI Calculator'!G125,'MCI Calculator'!H125))</f>
        <v/>
      </c>
      <c r="H57" s="239" t="str">
        <f>IF(B57="","",IF('MCI Calculator'!J125="",'MCI Calculator'!I125,'MCI Calculator'!J125))</f>
        <v/>
      </c>
      <c r="Q57" s="217"/>
      <c r="R57" s="218"/>
    </row>
    <row r="58" spans="2:18" x14ac:dyDescent="0.4">
      <c r="B58" s="234"/>
      <c r="C58" s="235" t="str">
        <f>IF(B58="","",IF('MCI Calculator'!D126="",'MCI Calculator'!C126,'MCI Calculator'!D126))</f>
        <v/>
      </c>
      <c r="D58" s="235" t="str">
        <f>IF(B58="","",IF('MCI Calculator'!F126="",'MCI Calculator'!E126,'MCI Calculator'!F126))</f>
        <v/>
      </c>
      <c r="E58" s="242"/>
      <c r="F58" s="243"/>
      <c r="G58" s="238" t="str">
        <f>IF(B58="","",IF('MCI Calculator'!H126="",'MCI Calculator'!G126,'MCI Calculator'!H126))</f>
        <v/>
      </c>
      <c r="H58" s="239" t="str">
        <f>IF(B58="","",IF('MCI Calculator'!J126="",'MCI Calculator'!I126,'MCI Calculator'!J126))</f>
        <v/>
      </c>
      <c r="Q58" s="217"/>
      <c r="R58" s="218"/>
    </row>
    <row r="59" spans="2:18" x14ac:dyDescent="0.4">
      <c r="B59" s="234"/>
      <c r="C59" s="235" t="str">
        <f>IF(B59="","",IF('MCI Calculator'!D127="",'MCI Calculator'!C127,'MCI Calculator'!D127))</f>
        <v/>
      </c>
      <c r="D59" s="235" t="str">
        <f>IF(B59="","",IF('MCI Calculator'!F127="",'MCI Calculator'!E127,'MCI Calculator'!F127))</f>
        <v/>
      </c>
      <c r="E59" s="242"/>
      <c r="F59" s="243"/>
      <c r="G59" s="238" t="str">
        <f>IF(B59="","",IF('MCI Calculator'!H127="",'MCI Calculator'!G127,'MCI Calculator'!H127))</f>
        <v/>
      </c>
      <c r="H59" s="239" t="str">
        <f>IF(B59="","",IF('MCI Calculator'!J127="",'MCI Calculator'!I127,'MCI Calculator'!J127))</f>
        <v/>
      </c>
      <c r="Q59" s="217"/>
      <c r="R59" s="218"/>
    </row>
    <row r="60" spans="2:18" x14ac:dyDescent="0.4">
      <c r="B60" s="234"/>
      <c r="C60" s="235" t="str">
        <f>IF(B60="","",IF('MCI Calculator'!D128="",'MCI Calculator'!C128,'MCI Calculator'!D128))</f>
        <v/>
      </c>
      <c r="D60" s="235" t="str">
        <f>IF(B60="","",IF('MCI Calculator'!F128="",'MCI Calculator'!E128,'MCI Calculator'!F128))</f>
        <v/>
      </c>
      <c r="E60" s="242"/>
      <c r="F60" s="243"/>
      <c r="G60" s="238" t="str">
        <f>IF(B60="","",IF('MCI Calculator'!H128="",'MCI Calculator'!G128,'MCI Calculator'!H128))</f>
        <v/>
      </c>
      <c r="H60" s="239" t="str">
        <f>IF(B60="","",IF('MCI Calculator'!J128="",'MCI Calculator'!I128,'MCI Calculator'!J128))</f>
        <v/>
      </c>
      <c r="Q60" s="217"/>
    </row>
    <row r="61" spans="2:18" x14ac:dyDescent="0.4">
      <c r="B61" s="234"/>
      <c r="C61" s="235" t="str">
        <f>IF(B61="","",IF('MCI Calculator'!D129="",'MCI Calculator'!C129,'MCI Calculator'!D129))</f>
        <v/>
      </c>
      <c r="D61" s="235" t="str">
        <f>IF(B61="","",IF('MCI Calculator'!F129="",'MCI Calculator'!E129,'MCI Calculator'!F129))</f>
        <v/>
      </c>
      <c r="E61" s="242"/>
      <c r="F61" s="243"/>
      <c r="G61" s="238" t="str">
        <f>IF(B61="","",IF('MCI Calculator'!H129="",'MCI Calculator'!G129,'MCI Calculator'!H129))</f>
        <v/>
      </c>
      <c r="H61" s="239" t="str">
        <f>IF(B61="","",IF('MCI Calculator'!J129="",'MCI Calculator'!I129,'MCI Calculator'!J129))</f>
        <v/>
      </c>
      <c r="Q61" s="217"/>
    </row>
    <row r="62" spans="2:18" ht="19.5" thickBot="1" x14ac:dyDescent="0.45">
      <c r="B62" s="244"/>
      <c r="C62" s="245" t="str">
        <f>IF(B62="","",IF('MCI Calculator'!D130="",'MCI Calculator'!C130,'MCI Calculator'!D130))</f>
        <v/>
      </c>
      <c r="D62" s="245" t="str">
        <f>IF(B62="","",IF('MCI Calculator'!F130="",'MCI Calculator'!E130,'MCI Calculator'!F130))</f>
        <v/>
      </c>
      <c r="E62" s="246"/>
      <c r="F62" s="247"/>
      <c r="G62" s="248" t="str">
        <f>IF(B62="","",IF('MCI Calculator'!H130="",'MCI Calculator'!G130,'MCI Calculator'!H130))</f>
        <v/>
      </c>
      <c r="H62" s="249" t="str">
        <f>IF(B62="","",IF('MCI Calculator'!J130="",'MCI Calculator'!I130,'MCI Calculator'!J130))</f>
        <v/>
      </c>
      <c r="Q62" s="217"/>
    </row>
    <row r="63" spans="2:18" x14ac:dyDescent="0.4">
      <c r="Q63" s="217"/>
    </row>
    <row r="64" spans="2:18" x14ac:dyDescent="0.4">
      <c r="Q64" s="217"/>
    </row>
    <row r="65" spans="17:17" x14ac:dyDescent="0.4">
      <c r="Q65" s="217"/>
    </row>
    <row r="66" spans="17:17" x14ac:dyDescent="0.4">
      <c r="Q66" s="217"/>
    </row>
    <row r="67" spans="17:17" x14ac:dyDescent="0.4">
      <c r="Q67" s="217"/>
    </row>
    <row r="68" spans="17:17" x14ac:dyDescent="0.4">
      <c r="Q68" s="217"/>
    </row>
    <row r="69" spans="17:17" x14ac:dyDescent="0.4">
      <c r="Q69" s="217"/>
    </row>
    <row r="70" spans="17:17" x14ac:dyDescent="0.4">
      <c r="Q70" s="217"/>
    </row>
    <row r="71" spans="17:17" x14ac:dyDescent="0.4">
      <c r="Q71" s="217"/>
    </row>
    <row r="72" spans="17:17" x14ac:dyDescent="0.4">
      <c r="Q72" s="217"/>
    </row>
    <row r="73" spans="17:17" x14ac:dyDescent="0.4">
      <c r="Q73" s="217"/>
    </row>
    <row r="74" spans="17:17" x14ac:dyDescent="0.4">
      <c r="Q74" s="217"/>
    </row>
    <row r="75" spans="17:17" x14ac:dyDescent="0.4">
      <c r="Q75" s="217"/>
    </row>
    <row r="76" spans="17:17" x14ac:dyDescent="0.4">
      <c r="Q76" s="217"/>
    </row>
  </sheetData>
  <sheetProtection algorithmName="SHA-512" hashValue="e0uAaTu0N5a3PywW7j/ztF6wMMByOHIrIxR6dpDma1fRs5k7JF/f+ZRpdJcHEVvVinNfUivVnbQKPSQsCFJ5vg==" saltValue="RHyhU7QZUp+gZvCvjC2Q6A==" spinCount="100000" sheet="1" selectLockedCells="1" selectUnlockedCells="1"/>
  <sortState xmlns:xlrd2="http://schemas.microsoft.com/office/spreadsheetml/2017/richdata2" ref="B4:B12">
    <sortCondition ref="B3:B12"/>
  </sortState>
  <dataValidations count="1">
    <dataValidation type="list" allowBlank="1" showInputMessage="1" showErrorMessage="1" sqref="E3:F22" xr:uid="{30506C72-FF17-4DA4-8741-1D2464EF24F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2</vt:i4>
      </vt:variant>
      <vt:variant>
        <vt:lpstr>Named Ranges</vt:lpstr>
      </vt:variant>
      <vt:variant>
        <vt:i4>1</vt:i4>
      </vt:variant>
    </vt:vector>
  </HeadingPairs>
  <TitlesOfParts>
    <vt:vector size="8" baseType="lpstr">
      <vt:lpstr>Information</vt:lpstr>
      <vt:lpstr>Read Me</vt:lpstr>
      <vt:lpstr>MCI Calculator</vt:lpstr>
      <vt:lpstr>Hotspot Calcs</vt:lpstr>
      <vt:lpstr>List</vt:lpstr>
      <vt:lpstr>Decoupling</vt:lpstr>
      <vt:lpstr>Mass Analysis</vt:lpstr>
      <vt:lpstr>'MCI Calculator'!Print_Area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Hoskins - Basic MCI Calculator</dc:title>
  <dc:subject/>
  <dc:creator>Jim Goddin Goddin</dc:creator>
  <cp:keywords/>
  <dc:description/>
  <cp:lastModifiedBy>Jim Goddin - thinkstep-anz</cp:lastModifiedBy>
  <cp:revision/>
  <cp:lastPrinted>2024-10-29T21:24:33Z</cp:lastPrinted>
  <dcterms:created xsi:type="dcterms:W3CDTF">2020-02-09T10:25:44Z</dcterms:created>
  <dcterms:modified xsi:type="dcterms:W3CDTF">2024-11-03T20:34:58Z</dcterms:modified>
  <cp:category/>
  <cp:contentStatus/>
</cp:coreProperties>
</file>