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C:\Users\ucesgm1\Desktop\PC Work\UCL\CEGE0039 Urban Flooding and Drainage (19-20)\MY COURSE\LECTURE 4\UCL example - SuDS\"/>
    </mc:Choice>
  </mc:AlternateContent>
  <xr:revisionPtr revIDLastSave="0" documentId="13_ncr:1_{2EF13AB4-7B3A-48F7-A7BC-9A7CC30C7BDA}" xr6:coauthVersionLast="36" xr6:coauthVersionMax="36" xr10:uidLastSave="{00000000-0000-0000-0000-000000000000}"/>
  <bookViews>
    <workbookView xWindow="0" yWindow="0" windowWidth="19200" windowHeight="7050" xr2:uid="{00000000-000D-0000-FFFF-FFFF00000000}"/>
  </bookViews>
  <sheets>
    <sheet name="Hydrology" sheetId="1" r:id="rId1"/>
    <sheet name="Conventional Sewer" sheetId="2" r:id="rId2"/>
    <sheet name="SuDS - PPave (1)" sheetId="3" r:id="rId3"/>
    <sheet name="SuDS - PPave (2)" sheetId="4" r:id="rId4"/>
    <sheet name="SuDS - Swale" sheetId="5" r:id="rId5"/>
    <sheet name="SuDS - IB" sheetId="6" r:id="rId6"/>
    <sheet name="SuDS - Ponds" sheetId="7" r:id="rId7"/>
  </sheets>
  <externalReferences>
    <externalReference r:id="rId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1" l="1"/>
  <c r="E39" i="1"/>
  <c r="L9" i="5" l="1"/>
  <c r="L6" i="5" s="1"/>
  <c r="L10" i="5"/>
  <c r="D73" i="1"/>
  <c r="D71" i="1"/>
  <c r="L4" i="7" l="1"/>
  <c r="C3" i="7"/>
  <c r="L4" i="6"/>
  <c r="L5" i="6" s="1"/>
  <c r="C3" i="6"/>
  <c r="C10" i="6" s="1"/>
  <c r="F3" i="6"/>
  <c r="L12" i="5"/>
  <c r="L7" i="5"/>
  <c r="C13" i="6" l="1"/>
  <c r="L6" i="6" s="1"/>
  <c r="I10" i="3" l="1"/>
  <c r="M12" i="3"/>
  <c r="C17" i="7" l="1"/>
  <c r="C4" i="7"/>
  <c r="C10" i="7" s="1"/>
  <c r="C17" i="6"/>
  <c r="L3" i="6" s="1"/>
  <c r="N3" i="6" s="1"/>
  <c r="C17" i="5"/>
  <c r="C4" i="5"/>
  <c r="C3" i="5"/>
  <c r="C10" i="5" s="1"/>
  <c r="I20" i="4"/>
  <c r="I19" i="4"/>
  <c r="I18" i="4"/>
  <c r="C17" i="4"/>
  <c r="I16" i="4"/>
  <c r="I15" i="4"/>
  <c r="I14" i="4"/>
  <c r="I13" i="4"/>
  <c r="I12" i="4"/>
  <c r="I11" i="4"/>
  <c r="I10" i="4"/>
  <c r="F8" i="4"/>
  <c r="C8" i="4"/>
  <c r="F7" i="4"/>
  <c r="C7" i="4"/>
  <c r="F6" i="4"/>
  <c r="C6" i="4"/>
  <c r="F5" i="4"/>
  <c r="C5" i="4"/>
  <c r="F4" i="4"/>
  <c r="C4" i="4"/>
  <c r="F3" i="4"/>
  <c r="C3" i="4"/>
  <c r="C10" i="4" s="1"/>
  <c r="I20" i="3"/>
  <c r="I19" i="3"/>
  <c r="I18" i="3"/>
  <c r="J20" i="3" s="1"/>
  <c r="C17" i="3"/>
  <c r="I16" i="3"/>
  <c r="I15" i="3"/>
  <c r="I14" i="3"/>
  <c r="F3" i="3" s="1"/>
  <c r="I13" i="3"/>
  <c r="F6" i="3" s="1"/>
  <c r="I12" i="3"/>
  <c r="I11" i="3"/>
  <c r="C8" i="3"/>
  <c r="F7" i="3"/>
  <c r="C7" i="3"/>
  <c r="C6" i="3"/>
  <c r="F5" i="3"/>
  <c r="C5" i="3"/>
  <c r="F4" i="3"/>
  <c r="C4" i="3"/>
  <c r="J17" i="3" l="1"/>
  <c r="F9" i="4"/>
  <c r="J20" i="4"/>
  <c r="C13" i="5"/>
  <c r="M11" i="3"/>
  <c r="I17" i="3"/>
  <c r="I21" i="3" s="1"/>
  <c r="M14" i="3" s="1"/>
  <c r="I17" i="4"/>
  <c r="J17" i="4" s="1"/>
  <c r="C13" i="7"/>
  <c r="L6" i="7"/>
  <c r="L3" i="7" s="1"/>
  <c r="N3" i="7" s="1"/>
  <c r="L5" i="7"/>
  <c r="M13" i="3"/>
  <c r="C3" i="3"/>
  <c r="C10" i="3" s="1"/>
  <c r="M10" i="3" s="1"/>
  <c r="I21" i="4"/>
  <c r="F8" i="3"/>
  <c r="F9" i="3" s="1"/>
  <c r="C11" i="4" l="1"/>
  <c r="C30" i="2"/>
  <c r="C28" i="2"/>
  <c r="C25" i="2"/>
  <c r="C21" i="2"/>
  <c r="C20" i="2"/>
  <c r="H30" i="2" s="1"/>
  <c r="J30" i="2" s="1"/>
  <c r="E29" i="2"/>
  <c r="E30" i="2" s="1"/>
  <c r="E27" i="2"/>
  <c r="F27" i="2" s="1"/>
  <c r="F28" i="2" s="1"/>
  <c r="E26" i="2"/>
  <c r="E24" i="2"/>
  <c r="F24" i="2" s="1"/>
  <c r="F25" i="2" s="1"/>
  <c r="E23" i="2"/>
  <c r="F23" i="2" s="1"/>
  <c r="D29" i="2"/>
  <c r="D27" i="2"/>
  <c r="D26" i="2"/>
  <c r="D24" i="2"/>
  <c r="D23" i="2"/>
  <c r="K50" i="1"/>
  <c r="K64" i="1" s="1"/>
  <c r="H52" i="1"/>
  <c r="H53" i="1" s="1"/>
  <c r="H54" i="1" s="1"/>
  <c r="H51" i="1"/>
  <c r="H49" i="1"/>
  <c r="H23" i="2" l="1"/>
  <c r="I23" i="2" s="1"/>
  <c r="H24" i="2"/>
  <c r="H26" i="2"/>
  <c r="I26" i="2" s="1"/>
  <c r="H29" i="2"/>
  <c r="J29" i="2" s="1"/>
  <c r="E25" i="2"/>
  <c r="H25" i="2"/>
  <c r="J25" i="2" s="1"/>
  <c r="K25" i="2" s="1"/>
  <c r="L25" i="2" s="1"/>
  <c r="M25" i="2" s="1"/>
  <c r="E28" i="2"/>
  <c r="H27" i="2"/>
  <c r="I27" i="2" s="1"/>
  <c r="H28" i="2"/>
  <c r="I28" i="2" s="1"/>
  <c r="I30" i="2"/>
  <c r="J23" i="2"/>
  <c r="K23" i="2" s="1"/>
  <c r="J24" i="2"/>
  <c r="K24" i="2" s="1"/>
  <c r="L24" i="2" s="1"/>
  <c r="M24" i="2" s="1"/>
  <c r="I24" i="2"/>
  <c r="F26" i="2"/>
  <c r="F29" i="2" s="1"/>
  <c r="F30" i="2" s="1"/>
  <c r="M52" i="1"/>
  <c r="K63" i="1"/>
  <c r="K53" i="1"/>
  <c r="M53" i="1"/>
  <c r="K54" i="1"/>
  <c r="L52" i="1"/>
  <c r="L53" i="1"/>
  <c r="K65" i="1" l="1"/>
  <c r="J27" i="2"/>
  <c r="K27" i="2" s="1"/>
  <c r="L27" i="2" s="1"/>
  <c r="M27" i="2" s="1"/>
  <c r="J26" i="2"/>
  <c r="K26" i="2" s="1"/>
  <c r="I25" i="2"/>
  <c r="I29" i="2"/>
  <c r="J28" i="2"/>
  <c r="K28" i="2" s="1"/>
  <c r="L28" i="2" s="1"/>
  <c r="M28" i="2" s="1"/>
  <c r="L23" i="2"/>
  <c r="M23" i="2" s="1"/>
  <c r="E49" i="1"/>
  <c r="J36" i="1"/>
  <c r="K36" i="1" s="1"/>
  <c r="D35" i="1"/>
  <c r="P36" i="1"/>
  <c r="P38" i="1" s="1"/>
  <c r="K20" i="1"/>
  <c r="K19" i="1"/>
  <c r="K18" i="1"/>
  <c r="J20" i="1"/>
  <c r="J19" i="1"/>
  <c r="J18" i="1"/>
  <c r="I20" i="1"/>
  <c r="I19" i="1"/>
  <c r="I18" i="1"/>
  <c r="E9" i="1"/>
  <c r="E6" i="1"/>
  <c r="E3" i="1"/>
  <c r="K29" i="2" l="1"/>
  <c r="L29" i="2" s="1"/>
  <c r="L26" i="2"/>
  <c r="K30" i="2"/>
  <c r="L30" i="2" s="1"/>
  <c r="E7" i="1"/>
  <c r="C13" i="3"/>
  <c r="C13" i="4"/>
  <c r="D39" i="1"/>
  <c r="D67" i="1" s="1"/>
  <c r="H55" i="1"/>
  <c r="K66" i="1"/>
  <c r="K56" i="1"/>
  <c r="J39" i="1"/>
  <c r="M26" i="2"/>
  <c r="M30" i="2" s="1"/>
  <c r="E52" i="1"/>
  <c r="E11" i="1"/>
  <c r="E50" i="1"/>
  <c r="E51" i="1" s="1"/>
  <c r="E4" i="1"/>
  <c r="R38" i="1" s="1"/>
  <c r="S38" i="1" s="1"/>
  <c r="K58" i="1"/>
  <c r="K57" i="1"/>
  <c r="D37" i="1"/>
  <c r="E53" i="1"/>
  <c r="D36" i="1"/>
  <c r="E36" i="1" s="1"/>
  <c r="Q38" i="1"/>
  <c r="J38" i="1"/>
  <c r="Q36" i="1"/>
  <c r="P39" i="1"/>
  <c r="P37" i="1"/>
  <c r="D40" i="1"/>
  <c r="J37" i="1"/>
  <c r="K37" i="1" s="1"/>
  <c r="E35" i="1"/>
  <c r="D38" i="1"/>
  <c r="K39" i="1"/>
  <c r="E5" i="1"/>
  <c r="E8" i="1"/>
  <c r="E10" i="1"/>
  <c r="M29" i="2" l="1"/>
  <c r="K7" i="3"/>
  <c r="K4" i="3"/>
  <c r="K5" i="3"/>
  <c r="K6" i="3"/>
  <c r="K3" i="3"/>
  <c r="K3" i="4"/>
  <c r="K5" i="4"/>
  <c r="K4" i="4"/>
  <c r="K7" i="4"/>
  <c r="K6" i="4"/>
  <c r="L39" i="1"/>
  <c r="H58" i="1" s="1"/>
  <c r="E54" i="1"/>
  <c r="R36" i="1"/>
  <c r="S36" i="1" s="1"/>
  <c r="L36" i="1"/>
  <c r="M36" i="1" s="1"/>
  <c r="E38" i="1"/>
  <c r="D50" i="1"/>
  <c r="D52" i="1"/>
  <c r="E40" i="1"/>
  <c r="D68" i="1" s="1"/>
  <c r="D72" i="1" s="1"/>
  <c r="D74" i="1" s="1"/>
  <c r="D76" i="1" s="1"/>
  <c r="D53" i="1"/>
  <c r="D54" i="1" s="1"/>
  <c r="D49" i="1"/>
  <c r="R37" i="1"/>
  <c r="S37" i="1" s="1"/>
  <c r="Q37" i="1"/>
  <c r="L38" i="1"/>
  <c r="M38" i="1" s="1"/>
  <c r="K38" i="1"/>
  <c r="R39" i="1"/>
  <c r="S39" i="1" s="1"/>
  <c r="Q39" i="1"/>
  <c r="L37" i="1"/>
  <c r="M37" i="1" s="1"/>
  <c r="M39" i="1" l="1"/>
  <c r="D51" i="1"/>
</calcChain>
</file>

<file path=xl/sharedStrings.xml><?xml version="1.0" encoding="utf-8"?>
<sst xmlns="http://schemas.openxmlformats.org/spreadsheetml/2006/main" count="492" uniqueCount="199">
  <si>
    <t>m2</t>
  </si>
  <si>
    <t>ha</t>
  </si>
  <si>
    <t>km2</t>
  </si>
  <si>
    <t>Area</t>
  </si>
  <si>
    <t>Total</t>
  </si>
  <si>
    <t>Impervious</t>
  </si>
  <si>
    <t>Pervious</t>
  </si>
  <si>
    <t>IDF curve London</t>
  </si>
  <si>
    <t>Return period</t>
  </si>
  <si>
    <t>T = 5 yr</t>
  </si>
  <si>
    <t>T = 30 yr</t>
  </si>
  <si>
    <t>T = 100 yr</t>
  </si>
  <si>
    <t>Rainfall intensity</t>
  </si>
  <si>
    <t>Ac =</t>
  </si>
  <si>
    <t>Ai =</t>
  </si>
  <si>
    <t>Ap =</t>
  </si>
  <si>
    <t>Duration (min)</t>
  </si>
  <si>
    <t>IDF equation, i = coeff1/(D+coeff2)</t>
  </si>
  <si>
    <t>Parameters</t>
  </si>
  <si>
    <t>Soil</t>
  </si>
  <si>
    <t>Runoff coeff</t>
  </si>
  <si>
    <t>SAAR</t>
  </si>
  <si>
    <t>BFIHOST</t>
  </si>
  <si>
    <t>Growth curve factor</t>
  </si>
  <si>
    <t>5y:</t>
  </si>
  <si>
    <t>30y:</t>
  </si>
  <si>
    <t>100y:</t>
  </si>
  <si>
    <t>C-Greenfield:</t>
  </si>
  <si>
    <t>C-after development:</t>
  </si>
  <si>
    <t>Flow rate</t>
  </si>
  <si>
    <t>m3/s</t>
  </si>
  <si>
    <t>l/s</t>
  </si>
  <si>
    <t>Qg05</t>
  </si>
  <si>
    <t>Qd05</t>
  </si>
  <si>
    <t>Greenfield</t>
  </si>
  <si>
    <t>After Development</t>
  </si>
  <si>
    <t>Qg30</t>
  </si>
  <si>
    <t>Qd30</t>
  </si>
  <si>
    <t>Qg100</t>
  </si>
  <si>
    <t>Qd100</t>
  </si>
  <si>
    <t>IH124</t>
  </si>
  <si>
    <t>for 50 ha</t>
  </si>
  <si>
    <t>for 8.05 ha</t>
  </si>
  <si>
    <t>Qbar</t>
  </si>
  <si>
    <t>Q100g</t>
  </si>
  <si>
    <t>FEH</t>
  </si>
  <si>
    <t>QMED</t>
  </si>
  <si>
    <t>Duration (h)</t>
  </si>
  <si>
    <t>T (yr)</t>
  </si>
  <si>
    <t>Volumes</t>
  </si>
  <si>
    <t>Volg30</t>
  </si>
  <si>
    <t>Vold30</t>
  </si>
  <si>
    <t>DV30</t>
  </si>
  <si>
    <t>m3</t>
  </si>
  <si>
    <t>Volg100</t>
  </si>
  <si>
    <t>Vold100</t>
  </si>
  <si>
    <t>DV100</t>
  </si>
  <si>
    <t>Rational method (1 hr)</t>
  </si>
  <si>
    <t>PR</t>
  </si>
  <si>
    <t>SPR</t>
  </si>
  <si>
    <t>Percentage Runoff (NERC, 1985)</t>
  </si>
  <si>
    <t>DPRcwi</t>
  </si>
  <si>
    <t>CWI</t>
  </si>
  <si>
    <t>DPRrain</t>
  </si>
  <si>
    <t>P</t>
  </si>
  <si>
    <t>Runoff volume (m3)</t>
  </si>
  <si>
    <t>Volg100 (m3)</t>
  </si>
  <si>
    <t>Volumes Rational Method</t>
  </si>
  <si>
    <t>Greenfield PR</t>
  </si>
  <si>
    <t>Proposed development site</t>
  </si>
  <si>
    <t>IF</t>
  </si>
  <si>
    <t>PIMP</t>
  </si>
  <si>
    <t>NAPI</t>
  </si>
  <si>
    <t>PF</t>
  </si>
  <si>
    <t>PR1summer</t>
  </si>
  <si>
    <t>PR2winter</t>
  </si>
  <si>
    <t>Runoff Vol winter (m3)</t>
  </si>
  <si>
    <t>Runoff Vol summer (m3)</t>
  </si>
  <si>
    <t>Runoff Vol aveg (m3)</t>
  </si>
  <si>
    <t xml:space="preserve">i (mm/hr) = </t>
  </si>
  <si>
    <t>FEH-Uk variable</t>
  </si>
  <si>
    <t>SOIL</t>
  </si>
  <si>
    <t>UCWI</t>
  </si>
  <si>
    <t>PRdry</t>
  </si>
  <si>
    <t>PRwet</t>
  </si>
  <si>
    <t>Runoff Vol (m3)</t>
  </si>
  <si>
    <t>IDF</t>
  </si>
  <si>
    <t>Runoff</t>
  </si>
  <si>
    <t>SUMMARY</t>
  </si>
  <si>
    <t>Peak discharge (1hr)</t>
  </si>
  <si>
    <t>Storage volume</t>
  </si>
  <si>
    <t>X</t>
  </si>
  <si>
    <t>Y</t>
  </si>
  <si>
    <t>Horizontal allignment</t>
  </si>
  <si>
    <t>Pipe Number</t>
  </si>
  <si>
    <t>Length (m)</t>
  </si>
  <si>
    <t>Diameter (mm)</t>
  </si>
  <si>
    <t>Pipe</t>
  </si>
  <si>
    <t>Gradient (-)</t>
  </si>
  <si>
    <t>Contributing Area (m2)</t>
  </si>
  <si>
    <t>Sum Area (m2</t>
  </si>
  <si>
    <t>Pipe Velocity (m/s)</t>
  </si>
  <si>
    <t>tf (min)</t>
  </si>
  <si>
    <t>t conc = te + tf (min)</t>
  </si>
  <si>
    <t>Rainfall intensity (mm/h)</t>
  </si>
  <si>
    <t>Qp (l/s)</t>
  </si>
  <si>
    <t>Pipe capacity Qf (l/s)</t>
  </si>
  <si>
    <t>ks (m)</t>
  </si>
  <si>
    <t>v (m2/s)</t>
  </si>
  <si>
    <t>1. It is important that calculations are carried out for each pipe in turn, and that area and time of concentration refer to the whole upstream contributing area not just to the local sub-catchment area.</t>
  </si>
  <si>
    <t>2. Each pipe will be designed for a different (critical) design storm, with shorter duration, higher intensity storms used for upstream pipes (because they have a shorter time of concentration) and longer duration, lower intensity storms used for downstream sections.</t>
  </si>
  <si>
    <t>Qf&gt;Qp?</t>
  </si>
  <si>
    <t>Yes</t>
  </si>
  <si>
    <t>No</t>
  </si>
  <si>
    <t>vf&gt;1 m/s?</t>
  </si>
  <si>
    <t>NOTE (see "Urban drainage" book):</t>
  </si>
  <si>
    <t>Calculations:</t>
  </si>
  <si>
    <t>Area (Ab)</t>
  </si>
  <si>
    <t xml:space="preserve">Area Drainage </t>
  </si>
  <si>
    <t>Depth</t>
  </si>
  <si>
    <t>Porosity (n)</t>
  </si>
  <si>
    <t>Infiltration (q)</t>
  </si>
  <si>
    <t>PP1</t>
  </si>
  <si>
    <t>AD1</t>
  </si>
  <si>
    <t>hmax (6h)</t>
  </si>
  <si>
    <t>m</t>
  </si>
  <si>
    <t>mm/h</t>
  </si>
  <si>
    <t>PP2</t>
  </si>
  <si>
    <t>AD2</t>
  </si>
  <si>
    <t>hmax (1h)</t>
  </si>
  <si>
    <t>PP3</t>
  </si>
  <si>
    <t>AD3</t>
  </si>
  <si>
    <t>hmax (2h)</t>
  </si>
  <si>
    <t>PP4</t>
  </si>
  <si>
    <t>AD4</t>
  </si>
  <si>
    <t>hmax (4h)</t>
  </si>
  <si>
    <t>PP5</t>
  </si>
  <si>
    <t>AD5</t>
  </si>
  <si>
    <t>hmax (24h)</t>
  </si>
  <si>
    <t>PP6</t>
  </si>
  <si>
    <t>AD6</t>
  </si>
  <si>
    <t>Area roofs</t>
  </si>
  <si>
    <t>TOTAL AREAS</t>
  </si>
  <si>
    <t>R1</t>
  </si>
  <si>
    <t>Ap</t>
  </si>
  <si>
    <t>R2</t>
  </si>
  <si>
    <t>As</t>
  </si>
  <si>
    <t>R3</t>
  </si>
  <si>
    <t>Aif</t>
  </si>
  <si>
    <t>AD</t>
  </si>
  <si>
    <t>R4</t>
  </si>
  <si>
    <t>R5</t>
  </si>
  <si>
    <t>Aroofs</t>
  </si>
  <si>
    <t>Storms</t>
  </si>
  <si>
    <t>R6</t>
  </si>
  <si>
    <t>i (mm/h)</t>
  </si>
  <si>
    <t>(100y)</t>
  </si>
  <si>
    <t>R7</t>
  </si>
  <si>
    <t>D</t>
  </si>
  <si>
    <t>(6h)</t>
  </si>
  <si>
    <t>R8</t>
  </si>
  <si>
    <t>R9</t>
  </si>
  <si>
    <t>30min</t>
  </si>
  <si>
    <t>R10</t>
  </si>
  <si>
    <t>R11</t>
  </si>
  <si>
    <t>1h</t>
  </si>
  <si>
    <t>2h</t>
  </si>
  <si>
    <t>4h</t>
  </si>
  <si>
    <t>(24h)</t>
  </si>
  <si>
    <t>PP7</t>
  </si>
  <si>
    <t>AD7</t>
  </si>
  <si>
    <t>PP8</t>
  </si>
  <si>
    <t>AD8</t>
  </si>
  <si>
    <t>PP9</t>
  </si>
  <si>
    <t>AD9</t>
  </si>
  <si>
    <t>PP10</t>
  </si>
  <si>
    <t>AD10</t>
  </si>
  <si>
    <t>PP11</t>
  </si>
  <si>
    <t>AD11</t>
  </si>
  <si>
    <t>PP12</t>
  </si>
  <si>
    <t>AD12</t>
  </si>
  <si>
    <t>TOTAL PP</t>
  </si>
  <si>
    <t>StorVOL available</t>
  </si>
  <si>
    <t>SW1</t>
  </si>
  <si>
    <t>from PP1</t>
  </si>
  <si>
    <t>hmax</t>
  </si>
  <si>
    <t>SW2</t>
  </si>
  <si>
    <t>Q</t>
  </si>
  <si>
    <t>n</t>
  </si>
  <si>
    <t>A</t>
  </si>
  <si>
    <t>IB</t>
  </si>
  <si>
    <t>b</t>
  </si>
  <si>
    <t>a</t>
  </si>
  <si>
    <t>P1</t>
  </si>
  <si>
    <t>P2</t>
  </si>
  <si>
    <t>= D*(AD/Ab*i-q)/n</t>
  </si>
  <si>
    <t>S</t>
  </si>
  <si>
    <t>alpha</t>
  </si>
  <si>
    <r>
      <t>Climate Change &amp; Urban creep allowances (</t>
    </r>
    <r>
      <rPr>
        <b/>
        <sz val="11"/>
        <color rgb="FFFF0000"/>
        <rFont val="Calibri"/>
        <family val="2"/>
        <scheme val="minor"/>
      </rPr>
      <t>40% + 10%</t>
    </r>
    <r>
      <rPr>
        <b/>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</si>
</sst>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0" tint="-0.34998626667073579"/>
      <name val="Calibri"/>
      <family val="2"/>
      <scheme val="minor"/>
    </font>
    <font>
      <i/>
      <sz val="11"/>
      <color theme="1"/>
      <name val="Calibri"/>
      <family val="2"/>
      <scheme val="minor"/>
    </font>
    <font>
      <sz val="11"/>
      <name val="Calibri"/>
      <family val="2"/>
      <scheme val="minor"/>
    </font>
    <font>
      <sz val="11"/>
      <color rgb="FFC00000"/>
      <name val="Calibri"/>
      <family val="2"/>
      <scheme val="minor"/>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xf numFmtId="0" fontId="0" fillId="0" borderId="2" xfId="0" applyBorder="1"/>
    <xf numFmtId="0" fontId="0" fillId="0" borderId="3" xfId="0" applyBorder="1"/>
    <xf numFmtId="0" fontId="0" fillId="0" borderId="4" xfId="0" applyBorder="1"/>
    <xf numFmtId="0" fontId="1" fillId="0" borderId="0" xfId="0" applyFont="1"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 xfId="0" applyBorder="1"/>
    <xf numFmtId="0" fontId="1" fillId="0" borderId="2" xfId="0" applyFont="1" applyBorder="1"/>
    <xf numFmtId="2" fontId="0" fillId="0" borderId="0" xfId="0" applyNumberFormat="1" applyBorder="1"/>
    <xf numFmtId="2" fontId="0" fillId="0" borderId="5" xfId="0" applyNumberFormat="1" applyBorder="1"/>
    <xf numFmtId="2" fontId="0" fillId="0" borderId="7" xfId="0" applyNumberFormat="1" applyBorder="1"/>
    <xf numFmtId="2" fontId="0" fillId="0" borderId="8" xfId="0" applyNumberFormat="1" applyBorder="1"/>
    <xf numFmtId="0" fontId="1" fillId="0" borderId="6" xfId="0" applyFont="1" applyBorder="1"/>
    <xf numFmtId="0" fontId="1" fillId="0" borderId="4" xfId="0" applyFont="1" applyBorder="1"/>
    <xf numFmtId="4" fontId="0" fillId="0" borderId="0" xfId="0" applyNumberFormat="1" applyBorder="1"/>
    <xf numFmtId="4" fontId="0" fillId="0" borderId="5" xfId="0" applyNumberFormat="1" applyBorder="1"/>
    <xf numFmtId="4" fontId="0" fillId="0" borderId="7" xfId="0" applyNumberFormat="1" applyBorder="1"/>
    <xf numFmtId="2" fontId="1" fillId="0" borderId="0" xfId="0" applyNumberFormat="1" applyFont="1" applyBorder="1"/>
    <xf numFmtId="2" fontId="1" fillId="0" borderId="7" xfId="0" applyNumberFormat="1" applyFont="1" applyBorder="1"/>
    <xf numFmtId="0" fontId="1" fillId="0" borderId="7" xfId="0" applyFont="1" applyBorder="1"/>
    <xf numFmtId="2" fontId="1" fillId="0" borderId="5" xfId="0" applyNumberFormat="1" applyFont="1" applyBorder="1"/>
    <xf numFmtId="2" fontId="1" fillId="0" borderId="8" xfId="0" applyNumberFormat="1" applyFont="1" applyBorder="1"/>
    <xf numFmtId="4" fontId="1" fillId="0" borderId="5" xfId="0" applyNumberFormat="1" applyFont="1" applyBorder="1"/>
    <xf numFmtId="4" fontId="1" fillId="0" borderId="8" xfId="0" applyNumberFormat="1" applyFont="1" applyBorder="1"/>
    <xf numFmtId="0" fontId="0" fillId="2" borderId="0" xfId="0" applyFill="1" applyBorder="1"/>
    <xf numFmtId="0" fontId="0" fillId="2" borderId="7" xfId="0" applyFill="1" applyBorder="1"/>
    <xf numFmtId="0" fontId="0" fillId="2" borderId="2" xfId="0" applyFill="1" applyBorder="1"/>
    <xf numFmtId="2" fontId="0" fillId="0" borderId="0" xfId="0" applyNumberFormat="1"/>
    <xf numFmtId="1" fontId="0" fillId="0" borderId="0" xfId="0" applyNumberFormat="1" applyBorder="1"/>
    <xf numFmtId="1" fontId="0" fillId="0" borderId="5" xfId="0" applyNumberFormat="1" applyBorder="1"/>
    <xf numFmtId="1" fontId="0" fillId="0" borderId="7" xfId="0" applyNumberFormat="1" applyBorder="1"/>
    <xf numFmtId="1" fontId="1" fillId="0" borderId="8" xfId="0" applyNumberFormat="1" applyFont="1" applyBorder="1"/>
    <xf numFmtId="0" fontId="3" fillId="0" borderId="4" xfId="0" applyFont="1" applyBorder="1"/>
    <xf numFmtId="0" fontId="3" fillId="0" borderId="0" xfId="0" applyFont="1" applyBorder="1"/>
    <xf numFmtId="0" fontId="2" fillId="0" borderId="0" xfId="0" applyFont="1" applyBorder="1"/>
    <xf numFmtId="0" fontId="2" fillId="0" borderId="5" xfId="0" applyFont="1" applyBorder="1"/>
    <xf numFmtId="2" fontId="0" fillId="0" borderId="0" xfId="0" applyNumberFormat="1" applyFont="1" applyBorder="1"/>
    <xf numFmtId="0" fontId="0" fillId="3" borderId="0" xfId="0" applyFill="1"/>
    <xf numFmtId="0" fontId="1" fillId="3" borderId="0" xfId="0" applyFont="1" applyFill="1"/>
    <xf numFmtId="0" fontId="0" fillId="0" borderId="0" xfId="0" applyFill="1" applyBorder="1"/>
    <xf numFmtId="0" fontId="1" fillId="0" borderId="1" xfId="0" applyFont="1" applyBorder="1"/>
    <xf numFmtId="2" fontId="0" fillId="2" borderId="0" xfId="0" applyNumberFormat="1" applyFill="1" applyBorder="1"/>
    <xf numFmtId="2" fontId="0" fillId="2" borderId="7" xfId="0" applyNumberFormat="1" applyFill="1" applyBorder="1"/>
    <xf numFmtId="0" fontId="0" fillId="0" borderId="0" xfId="0" applyAlignment="1">
      <alignment wrapText="1"/>
    </xf>
    <xf numFmtId="0" fontId="0" fillId="0" borderId="0" xfId="0" applyAlignment="1"/>
    <xf numFmtId="0" fontId="0" fillId="0" borderId="4" xfId="0" applyBorder="1" applyAlignment="1">
      <alignment wrapText="1"/>
    </xf>
    <xf numFmtId="0" fontId="0" fillId="0" borderId="0" xfId="0" applyBorder="1" applyAlignment="1">
      <alignment wrapText="1"/>
    </xf>
    <xf numFmtId="0" fontId="0" fillId="0" borderId="5" xfId="0" applyBorder="1" applyAlignment="1">
      <alignment wrapText="1"/>
    </xf>
    <xf numFmtId="0" fontId="5" fillId="0" borderId="0" xfId="0" applyFont="1" applyBorder="1"/>
    <xf numFmtId="2" fontId="1" fillId="2" borderId="0" xfId="0" applyNumberFormat="1" applyFont="1" applyFill="1" applyBorder="1"/>
    <xf numFmtId="0" fontId="4" fillId="0" borderId="0" xfId="0" applyFont="1" applyBorder="1"/>
    <xf numFmtId="2" fontId="1" fillId="2" borderId="7" xfId="0" applyNumberFormat="1" applyFont="1" applyFill="1" applyBorder="1"/>
    <xf numFmtId="0" fontId="4" fillId="0" borderId="7" xfId="0" applyFont="1" applyBorder="1"/>
    <xf numFmtId="0" fontId="1" fillId="0" borderId="9" xfId="0" applyFont="1" applyBorder="1"/>
    <xf numFmtId="0" fontId="0" fillId="0" borderId="10" xfId="0" applyBorder="1"/>
    <xf numFmtId="0" fontId="0" fillId="0" borderId="11" xfId="0" applyBorder="1"/>
    <xf numFmtId="0" fontId="0" fillId="0" borderId="12" xfId="0" applyBorder="1"/>
    <xf numFmtId="3" fontId="0" fillId="0" borderId="0" xfId="0" applyNumberFormat="1" applyBorder="1"/>
    <xf numFmtId="0" fontId="0" fillId="0" borderId="13" xfId="0" applyBorder="1"/>
    <xf numFmtId="3" fontId="0" fillId="0" borderId="0" xfId="0" applyNumberFormat="1"/>
    <xf numFmtId="1" fontId="0" fillId="0" borderId="0" xfId="0" applyNumberFormat="1"/>
    <xf numFmtId="2" fontId="6" fillId="0" borderId="0" xfId="0" applyNumberFormat="1" applyFont="1"/>
    <xf numFmtId="3" fontId="1" fillId="0" borderId="0" xfId="0" applyNumberFormat="1" applyFont="1"/>
    <xf numFmtId="0" fontId="0" fillId="0" borderId="14" xfId="0" applyBorder="1"/>
    <xf numFmtId="3" fontId="1" fillId="0" borderId="15" xfId="0" applyNumberFormat="1" applyFont="1" applyBorder="1"/>
    <xf numFmtId="0" fontId="0" fillId="0" borderId="16" xfId="0" applyBorder="1"/>
    <xf numFmtId="0" fontId="6" fillId="0" borderId="0" xfId="0" applyFont="1"/>
    <xf numFmtId="2" fontId="4" fillId="0" borderId="0" xfId="0" applyNumberFormat="1" applyFont="1"/>
    <xf numFmtId="1" fontId="1" fillId="0" borderId="15" xfId="0" applyNumberFormat="1" applyFont="1" applyBorder="1"/>
    <xf numFmtId="0" fontId="0" fillId="0" borderId="0" xfId="0" applyNumberFormat="1"/>
    <xf numFmtId="0" fontId="0" fillId="0" borderId="0" xfId="0" quotePrefix="1"/>
    <xf numFmtId="3" fontId="1" fillId="2" borderId="15" xfId="0" applyNumberFormat="1" applyFont="1" applyFill="1" applyBorder="1"/>
    <xf numFmtId="3" fontId="0" fillId="2" borderId="0" xfId="0" applyNumberFormat="1" applyFill="1"/>
    <xf numFmtId="0" fontId="0" fillId="0" borderId="17" xfId="0" applyFill="1" applyBorder="1"/>
    <xf numFmtId="0" fontId="0" fillId="0" borderId="19" xfId="0" applyBorder="1"/>
    <xf numFmtId="3" fontId="1" fillId="2" borderId="18" xfId="0" applyNumberFormat="1" applyFont="1" applyFill="1" applyBorder="1"/>
    <xf numFmtId="2" fontId="0" fillId="0" borderId="0"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'Conventional Sewer'!$B$5</c:f>
              <c:strCache>
                <c:ptCount val="1"/>
                <c:pt idx="0">
                  <c:v>1.1</c:v>
                </c:pt>
              </c:strCache>
            </c:strRef>
          </c:tx>
          <c:marker>
            <c:symbol val="circle"/>
            <c:size val="7"/>
            <c:spPr>
              <a:noFill/>
              <a:ln w="12700">
                <a:solidFill>
                  <a:schemeClr val="tx1"/>
                </a:solidFill>
                <a:tailEnd type="stealth" w="lg" len="lg"/>
              </a:ln>
            </c:spPr>
          </c:marker>
          <c:xVal>
            <c:numRef>
              <c:f>'Conventional Sewer'!$C$5:$C$6</c:f>
              <c:numCache>
                <c:formatCode>General</c:formatCode>
                <c:ptCount val="2"/>
                <c:pt idx="0">
                  <c:v>-200</c:v>
                </c:pt>
                <c:pt idx="1">
                  <c:v>0</c:v>
                </c:pt>
              </c:numCache>
            </c:numRef>
          </c:xVal>
          <c:yVal>
            <c:numRef>
              <c:f>'Conventional Sewer'!$D$5:$D$6</c:f>
              <c:numCache>
                <c:formatCode>General</c:formatCode>
                <c:ptCount val="2"/>
                <c:pt idx="0">
                  <c:v>0</c:v>
                </c:pt>
                <c:pt idx="1">
                  <c:v>0</c:v>
                </c:pt>
              </c:numCache>
            </c:numRef>
          </c:yVal>
          <c:smooth val="0"/>
          <c:extLst>
            <c:ext xmlns:c16="http://schemas.microsoft.com/office/drawing/2014/chart" uri="{C3380CC4-5D6E-409C-BE32-E72D297353CC}">
              <c16:uniqueId val="{00000000-5119-4107-80BC-311EF6655FF9}"/>
            </c:ext>
          </c:extLst>
        </c:ser>
        <c:ser>
          <c:idx val="1"/>
          <c:order val="1"/>
          <c:tx>
            <c:strRef>
              <c:f>'Conventional Sewer'!$B$7</c:f>
              <c:strCache>
                <c:ptCount val="1"/>
                <c:pt idx="0">
                  <c:v>2.1</c:v>
                </c:pt>
              </c:strCache>
            </c:strRef>
          </c:tx>
          <c:marker>
            <c:symbol val="circle"/>
            <c:size val="7"/>
            <c:spPr>
              <a:noFill/>
              <a:ln w="12700">
                <a:solidFill>
                  <a:schemeClr val="tx1"/>
                </a:solidFill>
                <a:tailEnd w="lg" len="lg"/>
              </a:ln>
            </c:spPr>
          </c:marker>
          <c:xVal>
            <c:numRef>
              <c:f>'Conventional Sewer'!$C$7:$C$8</c:f>
              <c:numCache>
                <c:formatCode>General</c:formatCode>
                <c:ptCount val="2"/>
                <c:pt idx="0">
                  <c:v>0</c:v>
                </c:pt>
                <c:pt idx="1">
                  <c:v>0</c:v>
                </c:pt>
              </c:numCache>
            </c:numRef>
          </c:xVal>
          <c:yVal>
            <c:numRef>
              <c:f>'Conventional Sewer'!$D$7:$D$8</c:f>
              <c:numCache>
                <c:formatCode>General</c:formatCode>
                <c:ptCount val="2"/>
                <c:pt idx="0">
                  <c:v>190</c:v>
                </c:pt>
                <c:pt idx="1">
                  <c:v>0</c:v>
                </c:pt>
              </c:numCache>
            </c:numRef>
          </c:yVal>
          <c:smooth val="0"/>
          <c:extLst>
            <c:ext xmlns:c16="http://schemas.microsoft.com/office/drawing/2014/chart" uri="{C3380CC4-5D6E-409C-BE32-E72D297353CC}">
              <c16:uniqueId val="{00000001-5119-4107-80BC-311EF6655FF9}"/>
            </c:ext>
          </c:extLst>
        </c:ser>
        <c:ser>
          <c:idx val="2"/>
          <c:order val="2"/>
          <c:tx>
            <c:strRef>
              <c:f>'Conventional Sewer'!$B$9</c:f>
              <c:strCache>
                <c:ptCount val="1"/>
                <c:pt idx="0">
                  <c:v>3.1</c:v>
                </c:pt>
              </c:strCache>
            </c:strRef>
          </c:tx>
          <c:marker>
            <c:symbol val="circle"/>
            <c:size val="7"/>
            <c:spPr>
              <a:noFill/>
              <a:ln w="12700">
                <a:solidFill>
                  <a:schemeClr val="tx1"/>
                </a:solidFill>
              </a:ln>
            </c:spPr>
          </c:marker>
          <c:xVal>
            <c:numRef>
              <c:f>'Conventional Sewer'!$C$9:$C$10</c:f>
              <c:numCache>
                <c:formatCode>General</c:formatCode>
                <c:ptCount val="2"/>
                <c:pt idx="0">
                  <c:v>170</c:v>
                </c:pt>
                <c:pt idx="1">
                  <c:v>170</c:v>
                </c:pt>
              </c:numCache>
            </c:numRef>
          </c:xVal>
          <c:yVal>
            <c:numRef>
              <c:f>'Conventional Sewer'!$D$9:$D$10</c:f>
              <c:numCache>
                <c:formatCode>General</c:formatCode>
                <c:ptCount val="2"/>
                <c:pt idx="0">
                  <c:v>190</c:v>
                </c:pt>
                <c:pt idx="1">
                  <c:v>50</c:v>
                </c:pt>
              </c:numCache>
            </c:numRef>
          </c:yVal>
          <c:smooth val="0"/>
          <c:extLst>
            <c:ext xmlns:c16="http://schemas.microsoft.com/office/drawing/2014/chart" uri="{C3380CC4-5D6E-409C-BE32-E72D297353CC}">
              <c16:uniqueId val="{00000002-5119-4107-80BC-311EF6655FF9}"/>
            </c:ext>
          </c:extLst>
        </c:ser>
        <c:ser>
          <c:idx val="3"/>
          <c:order val="3"/>
          <c:tx>
            <c:strRef>
              <c:f>'Conventional Sewer'!$B$11</c:f>
              <c:strCache>
                <c:ptCount val="1"/>
                <c:pt idx="0">
                  <c:v>1.2</c:v>
                </c:pt>
              </c:strCache>
            </c:strRef>
          </c:tx>
          <c:marker>
            <c:symbol val="circle"/>
            <c:size val="7"/>
            <c:spPr>
              <a:noFill/>
              <a:ln w="12700">
                <a:solidFill>
                  <a:schemeClr val="tx1"/>
                </a:solidFill>
              </a:ln>
            </c:spPr>
          </c:marker>
          <c:xVal>
            <c:numRef>
              <c:f>'Conventional Sewer'!$C$11:$C$12</c:f>
              <c:numCache>
                <c:formatCode>General</c:formatCode>
                <c:ptCount val="2"/>
                <c:pt idx="0">
                  <c:v>0</c:v>
                </c:pt>
                <c:pt idx="1">
                  <c:v>170</c:v>
                </c:pt>
              </c:numCache>
            </c:numRef>
          </c:xVal>
          <c:yVal>
            <c:numRef>
              <c:f>'Conventional Sewer'!$D$11:$D$12</c:f>
              <c:numCache>
                <c:formatCode>General</c:formatCode>
                <c:ptCount val="2"/>
                <c:pt idx="0">
                  <c:v>0</c:v>
                </c:pt>
                <c:pt idx="1">
                  <c:v>50</c:v>
                </c:pt>
              </c:numCache>
            </c:numRef>
          </c:yVal>
          <c:smooth val="0"/>
          <c:extLst>
            <c:ext xmlns:c16="http://schemas.microsoft.com/office/drawing/2014/chart" uri="{C3380CC4-5D6E-409C-BE32-E72D297353CC}">
              <c16:uniqueId val="{00000003-5119-4107-80BC-311EF6655FF9}"/>
            </c:ext>
          </c:extLst>
        </c:ser>
        <c:ser>
          <c:idx val="4"/>
          <c:order val="4"/>
          <c:tx>
            <c:strRef>
              <c:f>'Conventional Sewer'!$B$13</c:f>
              <c:strCache>
                <c:ptCount val="1"/>
                <c:pt idx="0">
                  <c:v>1.3</c:v>
                </c:pt>
              </c:strCache>
            </c:strRef>
          </c:tx>
          <c:marker>
            <c:symbol val="circle"/>
            <c:size val="7"/>
            <c:spPr>
              <a:noFill/>
              <a:ln w="12700">
                <a:solidFill>
                  <a:schemeClr val="tx1"/>
                </a:solidFill>
              </a:ln>
            </c:spPr>
          </c:marker>
          <c:xVal>
            <c:numRef>
              <c:f>'Conventional Sewer'!$C$13:$C$14</c:f>
              <c:numCache>
                <c:formatCode>General</c:formatCode>
                <c:ptCount val="2"/>
                <c:pt idx="0">
                  <c:v>170</c:v>
                </c:pt>
                <c:pt idx="1">
                  <c:v>240</c:v>
                </c:pt>
              </c:numCache>
            </c:numRef>
          </c:xVal>
          <c:yVal>
            <c:numRef>
              <c:f>'Conventional Sewer'!$D$13:$D$14</c:f>
              <c:numCache>
                <c:formatCode>General</c:formatCode>
                <c:ptCount val="2"/>
                <c:pt idx="0">
                  <c:v>50</c:v>
                </c:pt>
                <c:pt idx="1">
                  <c:v>50</c:v>
                </c:pt>
              </c:numCache>
            </c:numRef>
          </c:yVal>
          <c:smooth val="0"/>
          <c:extLst>
            <c:ext xmlns:c16="http://schemas.microsoft.com/office/drawing/2014/chart" uri="{C3380CC4-5D6E-409C-BE32-E72D297353CC}">
              <c16:uniqueId val="{00000004-5119-4107-80BC-311EF6655FF9}"/>
            </c:ext>
          </c:extLst>
        </c:ser>
        <c:dLbls>
          <c:showLegendKey val="0"/>
          <c:showVal val="0"/>
          <c:showCatName val="0"/>
          <c:showSerName val="0"/>
          <c:showPercent val="0"/>
          <c:showBubbleSize val="0"/>
        </c:dLbls>
        <c:axId val="56756096"/>
        <c:axId val="56762368"/>
      </c:scatterChart>
      <c:valAx>
        <c:axId val="56756096"/>
        <c:scaling>
          <c:orientation val="minMax"/>
          <c:min val="-200"/>
        </c:scaling>
        <c:delete val="0"/>
        <c:axPos val="b"/>
        <c:numFmt formatCode="General" sourceLinked="1"/>
        <c:majorTickMark val="out"/>
        <c:minorTickMark val="none"/>
        <c:tickLblPos val="nextTo"/>
        <c:crossAx val="56762368"/>
        <c:crosses val="autoZero"/>
        <c:crossBetween val="midCat"/>
      </c:valAx>
      <c:valAx>
        <c:axId val="56762368"/>
        <c:scaling>
          <c:orientation val="minMax"/>
          <c:max val="200"/>
          <c:min val="-50"/>
        </c:scaling>
        <c:delete val="0"/>
        <c:axPos val="l"/>
        <c:numFmt formatCode="General" sourceLinked="1"/>
        <c:majorTickMark val="out"/>
        <c:minorTickMark val="none"/>
        <c:tickLblPos val="nextTo"/>
        <c:crossAx val="567560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203200</xdr:colOff>
      <xdr:row>1</xdr:row>
      <xdr:rowOff>114300</xdr:rowOff>
    </xdr:from>
    <xdr:to>
      <xdr:col>13</xdr:col>
      <xdr:colOff>222250</xdr:colOff>
      <xdr:row>15</xdr:row>
      <xdr:rowOff>12700</xdr:rowOff>
    </xdr:to>
    <xdr:graphicFrame macro="">
      <xdr:nvGraphicFramePr>
        <xdr:cNvPr id="3" name="1 Gráfico">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0.14167</cdr:x>
      <cdr:y>0.66806</cdr:y>
    </cdr:from>
    <cdr:to>
      <cdr:x>0.24148</cdr:x>
      <cdr:y>0.77083</cdr:y>
    </cdr:to>
    <cdr:sp macro="" textlink="">
      <cdr:nvSpPr>
        <cdr:cNvPr id="2" name="1 CuadroTexto"/>
        <cdr:cNvSpPr txBox="1"/>
      </cdr:nvSpPr>
      <cdr:spPr>
        <a:xfrm xmlns:a="http://schemas.openxmlformats.org/drawingml/2006/main">
          <a:off x="607233" y="1654451"/>
          <a:ext cx="427817" cy="25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a:t>1.1</a:t>
          </a:r>
        </a:p>
      </cdr:txBody>
    </cdr:sp>
  </cdr:relSizeAnchor>
  <cdr:relSizeAnchor xmlns:cdr="http://schemas.openxmlformats.org/drawingml/2006/chartDrawing">
    <cdr:from>
      <cdr:x>0.3601</cdr:x>
      <cdr:y>0.30415</cdr:y>
    </cdr:from>
    <cdr:to>
      <cdr:x>0.45926</cdr:x>
      <cdr:y>0.40693</cdr:y>
    </cdr:to>
    <cdr:sp macro="" textlink="">
      <cdr:nvSpPr>
        <cdr:cNvPr id="3" name="1 CuadroTexto"/>
        <cdr:cNvSpPr txBox="1"/>
      </cdr:nvSpPr>
      <cdr:spPr>
        <a:xfrm xmlns:a="http://schemas.openxmlformats.org/drawingml/2006/main">
          <a:off x="1543478" y="753227"/>
          <a:ext cx="425021" cy="254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a:t>2.1</a:t>
          </a:r>
        </a:p>
      </cdr:txBody>
    </cdr:sp>
  </cdr:relSizeAnchor>
  <cdr:relSizeAnchor xmlns:cdr="http://schemas.openxmlformats.org/drawingml/2006/chartDrawing">
    <cdr:from>
      <cdr:x>0.42074</cdr:x>
      <cdr:y>0.57284</cdr:y>
    </cdr:from>
    <cdr:to>
      <cdr:x>0.51629</cdr:x>
      <cdr:y>0.67053</cdr:y>
    </cdr:to>
    <cdr:sp macro="" textlink="">
      <cdr:nvSpPr>
        <cdr:cNvPr id="4" name="1 CuadroTexto"/>
        <cdr:cNvSpPr txBox="1"/>
      </cdr:nvSpPr>
      <cdr:spPr>
        <a:xfrm xmlns:a="http://schemas.openxmlformats.org/drawingml/2006/main">
          <a:off x="1939660" y="1582341"/>
          <a:ext cx="440495" cy="2698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a:t>1.2</a:t>
          </a:r>
        </a:p>
      </cdr:txBody>
    </cdr:sp>
  </cdr:relSizeAnchor>
  <cdr:relSizeAnchor xmlns:cdr="http://schemas.openxmlformats.org/drawingml/2006/chartDrawing">
    <cdr:from>
      <cdr:x>0.61635</cdr:x>
      <cdr:y>0.29074</cdr:y>
    </cdr:from>
    <cdr:to>
      <cdr:x>0.72296</cdr:x>
      <cdr:y>0.39352</cdr:y>
    </cdr:to>
    <cdr:sp macro="" textlink="">
      <cdr:nvSpPr>
        <cdr:cNvPr id="5" name="1 CuadroTexto"/>
        <cdr:cNvSpPr txBox="1"/>
      </cdr:nvSpPr>
      <cdr:spPr>
        <a:xfrm xmlns:a="http://schemas.openxmlformats.org/drawingml/2006/main">
          <a:off x="2641830" y="720018"/>
          <a:ext cx="456970" cy="254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a:t>3.1</a:t>
          </a:r>
        </a:p>
      </cdr:txBody>
    </cdr:sp>
  </cdr:relSizeAnchor>
  <cdr:relSizeAnchor xmlns:cdr="http://schemas.openxmlformats.org/drawingml/2006/chartDrawing">
    <cdr:from>
      <cdr:x>0.62983</cdr:x>
      <cdr:y>0.59543</cdr:y>
    </cdr:from>
    <cdr:to>
      <cdr:x>0.72</cdr:x>
      <cdr:y>0.69821</cdr:y>
    </cdr:to>
    <cdr:sp macro="" textlink="">
      <cdr:nvSpPr>
        <cdr:cNvPr id="6" name="1 CuadroTexto"/>
        <cdr:cNvSpPr txBox="1"/>
      </cdr:nvSpPr>
      <cdr:spPr>
        <a:xfrm xmlns:a="http://schemas.openxmlformats.org/drawingml/2006/main">
          <a:off x="2699608" y="1474582"/>
          <a:ext cx="386491" cy="254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a:t>1.3</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42862</xdr:colOff>
      <xdr:row>21</xdr:row>
      <xdr:rowOff>185738</xdr:rowOff>
    </xdr:from>
    <xdr:to>
      <xdr:col>16</xdr:col>
      <xdr:colOff>259555</xdr:colOff>
      <xdr:row>30</xdr:row>
      <xdr:rowOff>129526</xdr:rowOff>
    </xdr:to>
    <xdr:pic>
      <xdr:nvPicPr>
        <xdr:cNvPr id="2" name="Immagine 3">
          <a:extLst>
            <a:ext uri="{FF2B5EF4-FFF2-40B4-BE49-F238E27FC236}">
              <a16:creationId xmlns:a16="http://schemas.microsoft.com/office/drawing/2014/main" id="{7484894F-E697-45E8-A352-729FADA0EFA2}"/>
            </a:ext>
          </a:extLst>
        </xdr:cNvPr>
        <xdr:cNvPicPr>
          <a:picLocks noChangeAspect="1"/>
        </xdr:cNvPicPr>
      </xdr:nvPicPr>
      <xdr:blipFill rotWithShape="1">
        <a:blip xmlns:r="http://schemas.openxmlformats.org/officeDocument/2006/relationships" r:embed="rId1"/>
        <a:srcRect l="19298" t="35239" r="26140" b="17348"/>
        <a:stretch/>
      </xdr:blipFill>
      <xdr:spPr>
        <a:xfrm>
          <a:off x="7015162" y="4186238"/>
          <a:ext cx="3398043" cy="1658288"/>
        </a:xfrm>
        <a:prstGeom prst="rect">
          <a:avLst/>
        </a:prstGeom>
      </xdr:spPr>
    </xdr:pic>
    <xdr:clientData/>
  </xdr:twoCellAnchor>
  <xdr:twoCellAnchor editAs="oneCell">
    <xdr:from>
      <xdr:col>5</xdr:col>
      <xdr:colOff>454820</xdr:colOff>
      <xdr:row>21</xdr:row>
      <xdr:rowOff>164197</xdr:rowOff>
    </xdr:from>
    <xdr:to>
      <xdr:col>10</xdr:col>
      <xdr:colOff>447676</xdr:colOff>
      <xdr:row>30</xdr:row>
      <xdr:rowOff>180024</xdr:rowOff>
    </xdr:to>
    <xdr:pic>
      <xdr:nvPicPr>
        <xdr:cNvPr id="3" name="Immagine 3">
          <a:extLst>
            <a:ext uri="{FF2B5EF4-FFF2-40B4-BE49-F238E27FC236}">
              <a16:creationId xmlns:a16="http://schemas.microsoft.com/office/drawing/2014/main" id="{2DCA6FEF-C982-4505-9376-5F43212D7152}"/>
            </a:ext>
          </a:extLst>
        </xdr:cNvPr>
        <xdr:cNvPicPr>
          <a:picLocks noChangeAspect="1"/>
        </xdr:cNvPicPr>
      </xdr:nvPicPr>
      <xdr:blipFill rotWithShape="1">
        <a:blip xmlns:r="http://schemas.openxmlformats.org/officeDocument/2006/relationships" r:embed="rId2"/>
        <a:srcRect l="9090" t="27475" r="19167" b="7878"/>
        <a:stretch/>
      </xdr:blipFill>
      <xdr:spPr>
        <a:xfrm>
          <a:off x="3407570" y="4164697"/>
          <a:ext cx="3421856" cy="1730327"/>
        </a:xfrm>
        <a:prstGeom prst="rect">
          <a:avLst/>
        </a:prstGeom>
      </xdr:spPr>
    </xdr:pic>
    <xdr:clientData/>
  </xdr:twoCellAnchor>
  <xdr:twoCellAnchor editAs="oneCell">
    <xdr:from>
      <xdr:col>7</xdr:col>
      <xdr:colOff>642505</xdr:colOff>
      <xdr:row>31</xdr:row>
      <xdr:rowOff>105457</xdr:rowOff>
    </xdr:from>
    <xdr:to>
      <xdr:col>10</xdr:col>
      <xdr:colOff>415636</xdr:colOff>
      <xdr:row>40</xdr:row>
      <xdr:rowOff>116220</xdr:rowOff>
    </xdr:to>
    <xdr:pic>
      <xdr:nvPicPr>
        <xdr:cNvPr id="5" name="Picture 4">
          <a:extLst>
            <a:ext uri="{FF2B5EF4-FFF2-40B4-BE49-F238E27FC236}">
              <a16:creationId xmlns:a16="http://schemas.microsoft.com/office/drawing/2014/main" id="{AD5B980F-A188-4726-B8A7-99D6458FDEE6}"/>
            </a:ext>
          </a:extLst>
        </xdr:cNvPr>
        <xdr:cNvPicPr>
          <a:picLocks noChangeAspect="1"/>
        </xdr:cNvPicPr>
      </xdr:nvPicPr>
      <xdr:blipFill>
        <a:blip xmlns:r="http://schemas.openxmlformats.org/officeDocument/2006/relationships" r:embed="rId3"/>
        <a:stretch>
          <a:fillRect/>
        </a:stretch>
      </xdr:blipFill>
      <xdr:spPr>
        <a:xfrm>
          <a:off x="5041323" y="6010957"/>
          <a:ext cx="1747404" cy="1725263"/>
        </a:xfrm>
        <a:prstGeom prst="rect">
          <a:avLst/>
        </a:prstGeom>
      </xdr:spPr>
    </xdr:pic>
    <xdr:clientData/>
  </xdr:twoCellAnchor>
  <xdr:twoCellAnchor editAs="oneCell">
    <xdr:from>
      <xdr:col>13</xdr:col>
      <xdr:colOff>200026</xdr:colOff>
      <xdr:row>31</xdr:row>
      <xdr:rowOff>114300</xdr:rowOff>
    </xdr:from>
    <xdr:to>
      <xdr:col>16</xdr:col>
      <xdr:colOff>138714</xdr:colOff>
      <xdr:row>40</xdr:row>
      <xdr:rowOff>142188</xdr:rowOff>
    </xdr:to>
    <xdr:pic>
      <xdr:nvPicPr>
        <xdr:cNvPr id="6" name="Picture 5">
          <a:extLst>
            <a:ext uri="{FF2B5EF4-FFF2-40B4-BE49-F238E27FC236}">
              <a16:creationId xmlns:a16="http://schemas.microsoft.com/office/drawing/2014/main" id="{E04EF0B6-1001-47C1-A760-7D6961034582}"/>
            </a:ext>
          </a:extLst>
        </xdr:cNvPr>
        <xdr:cNvPicPr>
          <a:picLocks noChangeAspect="1"/>
        </xdr:cNvPicPr>
      </xdr:nvPicPr>
      <xdr:blipFill>
        <a:blip xmlns:r="http://schemas.openxmlformats.org/officeDocument/2006/relationships" r:embed="rId4"/>
        <a:stretch>
          <a:fillRect/>
        </a:stretch>
      </xdr:blipFill>
      <xdr:spPr>
        <a:xfrm>
          <a:off x="8543926" y="6019800"/>
          <a:ext cx="1748438" cy="17423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531017</xdr:colOff>
      <xdr:row>23</xdr:row>
      <xdr:rowOff>59641</xdr:rowOff>
    </xdr:from>
    <xdr:to>
      <xdr:col>16</xdr:col>
      <xdr:colOff>214310</xdr:colOff>
      <xdr:row>32</xdr:row>
      <xdr:rowOff>3429</xdr:rowOff>
    </xdr:to>
    <xdr:pic>
      <xdr:nvPicPr>
        <xdr:cNvPr id="3" name="Immagine 3">
          <a:extLst>
            <a:ext uri="{FF2B5EF4-FFF2-40B4-BE49-F238E27FC236}">
              <a16:creationId xmlns:a16="http://schemas.microsoft.com/office/drawing/2014/main" id="{7080B578-ABE7-44C9-AB61-A154F9AE42B3}"/>
            </a:ext>
          </a:extLst>
        </xdr:cNvPr>
        <xdr:cNvPicPr>
          <a:picLocks noChangeAspect="1"/>
        </xdr:cNvPicPr>
      </xdr:nvPicPr>
      <xdr:blipFill rotWithShape="1">
        <a:blip xmlns:r="http://schemas.openxmlformats.org/officeDocument/2006/relationships" r:embed="rId1"/>
        <a:srcRect l="19298" t="35239" r="26140" b="17348"/>
        <a:stretch/>
      </xdr:blipFill>
      <xdr:spPr>
        <a:xfrm>
          <a:off x="6769892" y="4441141"/>
          <a:ext cx="3398043" cy="1658288"/>
        </a:xfrm>
        <a:prstGeom prst="rect">
          <a:avLst/>
        </a:prstGeom>
      </xdr:spPr>
    </xdr:pic>
    <xdr:clientData/>
  </xdr:twoCellAnchor>
  <xdr:twoCellAnchor editAs="oneCell">
    <xdr:from>
      <xdr:col>5</xdr:col>
      <xdr:colOff>209550</xdr:colOff>
      <xdr:row>23</xdr:row>
      <xdr:rowOff>38100</xdr:rowOff>
    </xdr:from>
    <xdr:to>
      <xdr:col>10</xdr:col>
      <xdr:colOff>11906</xdr:colOff>
      <xdr:row>32</xdr:row>
      <xdr:rowOff>53927</xdr:rowOff>
    </xdr:to>
    <xdr:pic>
      <xdr:nvPicPr>
        <xdr:cNvPr id="4" name="Immagine 3">
          <a:extLst>
            <a:ext uri="{FF2B5EF4-FFF2-40B4-BE49-F238E27FC236}">
              <a16:creationId xmlns:a16="http://schemas.microsoft.com/office/drawing/2014/main" id="{785B70D0-28C1-4B12-8ABC-5B779E1A100A}"/>
            </a:ext>
          </a:extLst>
        </xdr:cNvPr>
        <xdr:cNvPicPr>
          <a:picLocks noChangeAspect="1"/>
        </xdr:cNvPicPr>
      </xdr:nvPicPr>
      <xdr:blipFill rotWithShape="1">
        <a:blip xmlns:r="http://schemas.openxmlformats.org/officeDocument/2006/relationships" r:embed="rId2"/>
        <a:srcRect l="9090" t="27475" r="19167" b="7878"/>
        <a:stretch/>
      </xdr:blipFill>
      <xdr:spPr>
        <a:xfrm>
          <a:off x="3162300" y="4419600"/>
          <a:ext cx="3421856" cy="1730327"/>
        </a:xfrm>
        <a:prstGeom prst="rect">
          <a:avLst/>
        </a:prstGeom>
      </xdr:spPr>
    </xdr:pic>
    <xdr:clientData/>
  </xdr:twoCellAnchor>
  <xdr:twoCellAnchor editAs="oneCell">
    <xdr:from>
      <xdr:col>7</xdr:col>
      <xdr:colOff>397235</xdr:colOff>
      <xdr:row>32</xdr:row>
      <xdr:rowOff>169860</xdr:rowOff>
    </xdr:from>
    <xdr:to>
      <xdr:col>9</xdr:col>
      <xdr:colOff>818066</xdr:colOff>
      <xdr:row>41</xdr:row>
      <xdr:rowOff>180623</xdr:rowOff>
    </xdr:to>
    <xdr:pic>
      <xdr:nvPicPr>
        <xdr:cNvPr id="5" name="Picture 4">
          <a:extLst>
            <a:ext uri="{FF2B5EF4-FFF2-40B4-BE49-F238E27FC236}">
              <a16:creationId xmlns:a16="http://schemas.microsoft.com/office/drawing/2014/main" id="{642A19E8-A712-4B4E-995B-DD8FF7EE0A4E}"/>
            </a:ext>
          </a:extLst>
        </xdr:cNvPr>
        <xdr:cNvPicPr>
          <a:picLocks noChangeAspect="1"/>
        </xdr:cNvPicPr>
      </xdr:nvPicPr>
      <xdr:blipFill>
        <a:blip xmlns:r="http://schemas.openxmlformats.org/officeDocument/2006/relationships" r:embed="rId3"/>
        <a:stretch>
          <a:fillRect/>
        </a:stretch>
      </xdr:blipFill>
      <xdr:spPr>
        <a:xfrm>
          <a:off x="4807310" y="6265860"/>
          <a:ext cx="1744806" cy="1725263"/>
        </a:xfrm>
        <a:prstGeom prst="rect">
          <a:avLst/>
        </a:prstGeom>
      </xdr:spPr>
    </xdr:pic>
    <xdr:clientData/>
  </xdr:twoCellAnchor>
  <xdr:twoCellAnchor editAs="oneCell">
    <xdr:from>
      <xdr:col>13</xdr:col>
      <xdr:colOff>116681</xdr:colOff>
      <xdr:row>32</xdr:row>
      <xdr:rowOff>178703</xdr:rowOff>
    </xdr:from>
    <xdr:to>
      <xdr:col>16</xdr:col>
      <xdr:colOff>93469</xdr:colOff>
      <xdr:row>42</xdr:row>
      <xdr:rowOff>16091</xdr:rowOff>
    </xdr:to>
    <xdr:pic>
      <xdr:nvPicPr>
        <xdr:cNvPr id="6" name="Picture 5">
          <a:extLst>
            <a:ext uri="{FF2B5EF4-FFF2-40B4-BE49-F238E27FC236}">
              <a16:creationId xmlns:a16="http://schemas.microsoft.com/office/drawing/2014/main" id="{53D418A5-8057-4B88-B5C1-F9642C4DCABB}"/>
            </a:ext>
          </a:extLst>
        </xdr:cNvPr>
        <xdr:cNvPicPr>
          <a:picLocks noChangeAspect="1"/>
        </xdr:cNvPicPr>
      </xdr:nvPicPr>
      <xdr:blipFill>
        <a:blip xmlns:r="http://schemas.openxmlformats.org/officeDocument/2006/relationships" r:embed="rId4"/>
        <a:stretch>
          <a:fillRect/>
        </a:stretch>
      </xdr:blipFill>
      <xdr:spPr>
        <a:xfrm>
          <a:off x="8298656" y="6274703"/>
          <a:ext cx="1748438" cy="17423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561975</xdr:colOff>
      <xdr:row>14</xdr:row>
      <xdr:rowOff>28575</xdr:rowOff>
    </xdr:from>
    <xdr:to>
      <xdr:col>16</xdr:col>
      <xdr:colOff>204716</xdr:colOff>
      <xdr:row>27</xdr:row>
      <xdr:rowOff>25213</xdr:rowOff>
    </xdr:to>
    <xdr:pic>
      <xdr:nvPicPr>
        <xdr:cNvPr id="2" name="Picture 1">
          <a:extLst>
            <a:ext uri="{FF2B5EF4-FFF2-40B4-BE49-F238E27FC236}">
              <a16:creationId xmlns:a16="http://schemas.microsoft.com/office/drawing/2014/main" id="{644075B8-627D-4D3A-B2C2-9D8F21CE23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5825" y="2695575"/>
          <a:ext cx="4957691" cy="247313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cesgm1/Desktop/PC%20Work/UCL/CEGE0039%20Urban%20Flooding%20and%20Drainage%20(19-20)/MY%20COURSE/LECTURE%202/UCL%20example%20-%20conventional/L4%20-%20Ex_Su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ology"/>
      <sheetName val="TradSewer"/>
      <sheetName val="SuDS-PPave"/>
      <sheetName val="SuDS-PPave (2)"/>
      <sheetName val="SuDS-Swale"/>
      <sheetName val="SuDS-IB"/>
      <sheetName val="SuDS-Ponds"/>
    </sheetNames>
    <sheetDataSet>
      <sheetData sheetId="0"/>
      <sheetData sheetId="1"/>
      <sheetData sheetId="2">
        <row r="12">
          <cell r="I12">
            <v>1000</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85"/>
  <sheetViews>
    <sheetView tabSelected="1" topLeftCell="A31" workbookViewId="0">
      <selection activeCell="K20" sqref="K20"/>
    </sheetView>
  </sheetViews>
  <sheetFormatPr defaultRowHeight="15" x14ac:dyDescent="0.25"/>
  <cols>
    <col min="2" max="2" width="10.42578125" bestFit="1" customWidth="1"/>
    <col min="3" max="3" width="17.5703125" bestFit="1" customWidth="1"/>
    <col min="4" max="4" width="14.5703125" bestFit="1" customWidth="1"/>
    <col min="5" max="5" width="15.42578125" bestFit="1" customWidth="1"/>
    <col min="6" max="7" width="13.140625" bestFit="1" customWidth="1"/>
    <col min="9" max="9" width="13.42578125" customWidth="1"/>
    <col min="10" max="10" width="18.140625" customWidth="1"/>
    <col min="11" max="11" width="13.140625" bestFit="1" customWidth="1"/>
    <col min="12" max="12" width="9.85546875" bestFit="1" customWidth="1"/>
  </cols>
  <sheetData>
    <row r="2" spans="2:11" ht="15.75" thickBot="1" x14ac:dyDescent="0.3"/>
    <row r="3" spans="2:11" x14ac:dyDescent="0.25">
      <c r="B3" s="42" t="s">
        <v>3</v>
      </c>
      <c r="C3" s="11" t="s">
        <v>4</v>
      </c>
      <c r="D3" s="12" t="s">
        <v>13</v>
      </c>
      <c r="E3" s="31">
        <f>350*170+300*70</f>
        <v>80500</v>
      </c>
      <c r="F3" s="3" t="s">
        <v>0</v>
      </c>
    </row>
    <row r="4" spans="2:11" x14ac:dyDescent="0.25">
      <c r="C4" s="4"/>
      <c r="D4" s="6"/>
      <c r="E4" s="6">
        <f>E3/10000</f>
        <v>8.0500000000000007</v>
      </c>
      <c r="F4" s="7" t="s">
        <v>1</v>
      </c>
    </row>
    <row r="5" spans="2:11" x14ac:dyDescent="0.25">
      <c r="C5" s="4"/>
      <c r="D5" s="6"/>
      <c r="E5" s="6">
        <f>E3/1000000</f>
        <v>8.0500000000000002E-2</v>
      </c>
      <c r="F5" s="7" t="s">
        <v>2</v>
      </c>
    </row>
    <row r="6" spans="2:11" x14ac:dyDescent="0.25">
      <c r="C6" s="4" t="s">
        <v>5</v>
      </c>
      <c r="D6" s="5" t="s">
        <v>14</v>
      </c>
      <c r="E6" s="29">
        <f>70*160+350*170</f>
        <v>70700</v>
      </c>
      <c r="F6" s="7" t="s">
        <v>0</v>
      </c>
    </row>
    <row r="7" spans="2:11" x14ac:dyDescent="0.25">
      <c r="C7" s="4"/>
      <c r="D7" s="6"/>
      <c r="E7" s="6">
        <f>E6/10000</f>
        <v>7.07</v>
      </c>
      <c r="F7" s="7" t="s">
        <v>1</v>
      </c>
    </row>
    <row r="8" spans="2:11" x14ac:dyDescent="0.25">
      <c r="C8" s="4"/>
      <c r="D8" s="6"/>
      <c r="E8" s="6">
        <f>E6/1000000</f>
        <v>7.0699999999999999E-2</v>
      </c>
      <c r="F8" s="7" t="s">
        <v>2</v>
      </c>
    </row>
    <row r="9" spans="2:11" x14ac:dyDescent="0.25">
      <c r="C9" s="4" t="s">
        <v>6</v>
      </c>
      <c r="D9" s="5" t="s">
        <v>15</v>
      </c>
      <c r="E9" s="29">
        <f>140*70</f>
        <v>9800</v>
      </c>
      <c r="F9" s="7" t="s">
        <v>0</v>
      </c>
    </row>
    <row r="10" spans="2:11" x14ac:dyDescent="0.25">
      <c r="C10" s="4"/>
      <c r="D10" s="6"/>
      <c r="E10" s="6">
        <f>E9/10000</f>
        <v>0.98</v>
      </c>
      <c r="F10" s="7" t="s">
        <v>1</v>
      </c>
    </row>
    <row r="11" spans="2:11" ht="15.75" thickBot="1" x14ac:dyDescent="0.3">
      <c r="C11" s="8"/>
      <c r="D11" s="9"/>
      <c r="E11" s="9">
        <f>E9/1000000</f>
        <v>9.7999999999999997E-3</v>
      </c>
      <c r="F11" s="10" t="s">
        <v>2</v>
      </c>
    </row>
    <row r="13" spans="2:11" ht="15.75" thickBot="1" x14ac:dyDescent="0.3"/>
    <row r="14" spans="2:11" x14ac:dyDescent="0.25">
      <c r="B14" s="42" t="s">
        <v>86</v>
      </c>
      <c r="C14" s="11"/>
      <c r="D14" s="2"/>
      <c r="E14" s="12" t="s">
        <v>7</v>
      </c>
      <c r="F14" s="2"/>
      <c r="G14" s="2"/>
      <c r="H14" s="2"/>
      <c r="I14" s="12" t="s">
        <v>17</v>
      </c>
      <c r="J14" s="2"/>
      <c r="K14" s="3"/>
    </row>
    <row r="15" spans="2:11" x14ac:dyDescent="0.25">
      <c r="C15" s="4"/>
      <c r="D15" s="6"/>
      <c r="E15" s="6" t="s">
        <v>16</v>
      </c>
      <c r="F15" s="6" t="s">
        <v>16</v>
      </c>
      <c r="G15" s="6" t="s">
        <v>16</v>
      </c>
      <c r="H15" s="6"/>
      <c r="I15" s="6" t="s">
        <v>16</v>
      </c>
      <c r="J15" s="6" t="s">
        <v>16</v>
      </c>
      <c r="K15" s="7" t="s">
        <v>16</v>
      </c>
    </row>
    <row r="16" spans="2:11" x14ac:dyDescent="0.25">
      <c r="C16" s="4"/>
      <c r="D16" s="6"/>
      <c r="E16" s="6">
        <v>15</v>
      </c>
      <c r="F16" s="6">
        <v>60</v>
      </c>
      <c r="G16" s="6">
        <v>360</v>
      </c>
      <c r="H16" s="6"/>
      <c r="I16" s="6">
        <v>15</v>
      </c>
      <c r="J16" s="6">
        <v>60</v>
      </c>
      <c r="K16" s="7">
        <v>360</v>
      </c>
    </row>
    <row r="17" spans="2:11" x14ac:dyDescent="0.25">
      <c r="C17" s="4" t="s">
        <v>8</v>
      </c>
      <c r="D17" s="6" t="s">
        <v>12</v>
      </c>
      <c r="E17" s="6"/>
      <c r="F17" s="6"/>
      <c r="G17" s="6"/>
      <c r="H17" s="6"/>
      <c r="I17" s="6"/>
      <c r="J17" s="6"/>
      <c r="K17" s="7"/>
    </row>
    <row r="18" spans="2:11" x14ac:dyDescent="0.25">
      <c r="C18" s="4" t="s">
        <v>9</v>
      </c>
      <c r="D18" s="6" t="s">
        <v>79</v>
      </c>
      <c r="E18" s="6">
        <v>55</v>
      </c>
      <c r="F18" s="29">
        <v>22</v>
      </c>
      <c r="G18" s="6">
        <v>7</v>
      </c>
      <c r="H18" s="6"/>
      <c r="I18" s="13">
        <f>1230/(I16+8)</f>
        <v>53.478260869565219</v>
      </c>
      <c r="J18" s="13">
        <f>1530/(J16+15)</f>
        <v>20.399999999999999</v>
      </c>
      <c r="K18" s="14">
        <f>1530/(K16+15)</f>
        <v>4.08</v>
      </c>
    </row>
    <row r="19" spans="2:11" x14ac:dyDescent="0.25">
      <c r="C19" s="4" t="s">
        <v>10</v>
      </c>
      <c r="D19" s="6" t="s">
        <v>79</v>
      </c>
      <c r="E19" s="6">
        <v>80</v>
      </c>
      <c r="F19" s="29">
        <v>32</v>
      </c>
      <c r="G19" s="6">
        <v>9</v>
      </c>
      <c r="H19" s="6"/>
      <c r="I19" s="13">
        <f>1780/(I16+8)</f>
        <v>77.391304347826093</v>
      </c>
      <c r="J19" s="13">
        <f>2240/(J16+15)</f>
        <v>29.866666666666667</v>
      </c>
      <c r="K19" s="14">
        <f>2240/(K16+15)</f>
        <v>5.9733333333333336</v>
      </c>
    </row>
    <row r="20" spans="2:11" ht="15.75" thickBot="1" x14ac:dyDescent="0.3">
      <c r="C20" s="17" t="s">
        <v>11</v>
      </c>
      <c r="D20" s="9" t="s">
        <v>79</v>
      </c>
      <c r="E20" s="9">
        <v>105</v>
      </c>
      <c r="F20" s="30">
        <v>45</v>
      </c>
      <c r="G20" s="30">
        <v>12</v>
      </c>
      <c r="H20" s="9"/>
      <c r="I20" s="15">
        <f>2420/(I16+9)</f>
        <v>100.83333333333333</v>
      </c>
      <c r="J20" s="15">
        <f>2990/(J16+16)</f>
        <v>39.342105263157897</v>
      </c>
      <c r="K20" s="16">
        <f>2990/(K16+16)</f>
        <v>7.9521276595744679</v>
      </c>
    </row>
    <row r="22" spans="2:11" ht="15.75" thickBot="1" x14ac:dyDescent="0.3"/>
    <row r="23" spans="2:11" x14ac:dyDescent="0.25">
      <c r="B23" s="42" t="s">
        <v>18</v>
      </c>
      <c r="C23" s="11" t="s">
        <v>19</v>
      </c>
      <c r="D23" s="2"/>
      <c r="E23" s="3">
        <v>0.47</v>
      </c>
    </row>
    <row r="24" spans="2:11" x14ac:dyDescent="0.25">
      <c r="C24" s="4" t="s">
        <v>21</v>
      </c>
      <c r="D24" s="6"/>
      <c r="E24" s="7">
        <v>700</v>
      </c>
    </row>
    <row r="25" spans="2:11" x14ac:dyDescent="0.25">
      <c r="C25" s="4" t="s">
        <v>22</v>
      </c>
      <c r="D25" s="6"/>
      <c r="E25" s="7">
        <v>0.22</v>
      </c>
    </row>
    <row r="26" spans="2:11" x14ac:dyDescent="0.25">
      <c r="C26" s="4" t="s">
        <v>20</v>
      </c>
      <c r="D26" s="6" t="s">
        <v>27</v>
      </c>
      <c r="E26" s="7">
        <v>0.1</v>
      </c>
    </row>
    <row r="27" spans="2:11" x14ac:dyDescent="0.25">
      <c r="C27" s="4"/>
      <c r="D27" s="6" t="s">
        <v>28</v>
      </c>
      <c r="E27" s="7">
        <v>0.9</v>
      </c>
    </row>
    <row r="28" spans="2:11" x14ac:dyDescent="0.25">
      <c r="C28" s="4" t="s">
        <v>23</v>
      </c>
      <c r="D28" s="6" t="s">
        <v>24</v>
      </c>
      <c r="E28" s="7">
        <v>1.28</v>
      </c>
    </row>
    <row r="29" spans="2:11" x14ac:dyDescent="0.25">
      <c r="C29" s="4"/>
      <c r="D29" s="6" t="s">
        <v>25</v>
      </c>
      <c r="E29" s="7">
        <v>2.4</v>
      </c>
    </row>
    <row r="30" spans="2:11" ht="15.75" thickBot="1" x14ac:dyDescent="0.3">
      <c r="C30" s="8"/>
      <c r="D30" s="9" t="s">
        <v>26</v>
      </c>
      <c r="E30" s="10">
        <v>3.19</v>
      </c>
    </row>
    <row r="33" spans="2:19" ht="15.75" thickBot="1" x14ac:dyDescent="0.3">
      <c r="C33" s="1" t="s">
        <v>57</v>
      </c>
      <c r="I33" s="1" t="s">
        <v>40</v>
      </c>
      <c r="O33" s="1" t="s">
        <v>45</v>
      </c>
    </row>
    <row r="34" spans="2:19" x14ac:dyDescent="0.25">
      <c r="B34" s="42" t="s">
        <v>87</v>
      </c>
      <c r="C34" s="11" t="s">
        <v>29</v>
      </c>
      <c r="D34" s="2" t="s">
        <v>30</v>
      </c>
      <c r="E34" s="2" t="s">
        <v>31</v>
      </c>
      <c r="F34" s="2"/>
      <c r="G34" s="3"/>
      <c r="I34" s="11"/>
      <c r="J34" s="2" t="s">
        <v>41</v>
      </c>
      <c r="K34" s="2"/>
      <c r="L34" s="2" t="s">
        <v>42</v>
      </c>
      <c r="M34" s="3"/>
      <c r="O34" s="11"/>
      <c r="P34" s="2" t="s">
        <v>41</v>
      </c>
      <c r="Q34" s="2"/>
      <c r="R34" s="2" t="s">
        <v>42</v>
      </c>
      <c r="S34" s="3"/>
    </row>
    <row r="35" spans="2:19" x14ac:dyDescent="0.25">
      <c r="C35" s="4" t="s">
        <v>32</v>
      </c>
      <c r="D35" s="13">
        <f>E26*F18*E3/1000/60/60</f>
        <v>4.9194444444444443E-2</v>
      </c>
      <c r="E35" s="13">
        <f>D35*1000</f>
        <v>49.194444444444443</v>
      </c>
      <c r="F35" s="6" t="s">
        <v>34</v>
      </c>
      <c r="G35" s="7"/>
      <c r="I35" s="4" t="s">
        <v>29</v>
      </c>
      <c r="J35" s="6" t="s">
        <v>30</v>
      </c>
      <c r="K35" s="6" t="s">
        <v>31</v>
      </c>
      <c r="L35" s="6" t="s">
        <v>30</v>
      </c>
      <c r="M35" s="7" t="s">
        <v>31</v>
      </c>
      <c r="O35" s="4" t="s">
        <v>29</v>
      </c>
      <c r="P35" s="6" t="s">
        <v>30</v>
      </c>
      <c r="Q35" s="6" t="s">
        <v>31</v>
      </c>
      <c r="R35" s="6" t="s">
        <v>30</v>
      </c>
      <c r="S35" s="7" t="s">
        <v>31</v>
      </c>
    </row>
    <row r="36" spans="2:19" x14ac:dyDescent="0.25">
      <c r="C36" s="4" t="s">
        <v>33</v>
      </c>
      <c r="D36" s="13">
        <f>(E26*E9*F18+E27*E6*F18)/1000/60/60</f>
        <v>0.39483888888888891</v>
      </c>
      <c r="E36" s="22">
        <f>D36*1000</f>
        <v>394.8388888888889</v>
      </c>
      <c r="F36" s="5" t="s">
        <v>35</v>
      </c>
      <c r="G36" s="7"/>
      <c r="I36" s="18" t="s">
        <v>43</v>
      </c>
      <c r="J36" s="13">
        <f>0.00108*0.5^0.89*E24^1.17*E23^2.17</f>
        <v>0.24139269194090288</v>
      </c>
      <c r="K36" s="13">
        <f>J36*1000</f>
        <v>241.39269194090286</v>
      </c>
      <c r="L36" s="19">
        <f>J36*$E$4/50</f>
        <v>3.8864223402485368E-2</v>
      </c>
      <c r="M36" s="20">
        <f>L36*1000</f>
        <v>38.864223402485365</v>
      </c>
      <c r="O36" s="4" t="s">
        <v>46</v>
      </c>
      <c r="P36" s="13">
        <f>8.3062*0.5^0.851*0.1536^(1000/E24)*1^3.4451*0.046^(E25*E25)</f>
        <v>0.27302667079730097</v>
      </c>
      <c r="Q36" s="13">
        <f>P36*1000</f>
        <v>273.02667079730099</v>
      </c>
      <c r="R36" s="13">
        <f>P36*$E$4/50</f>
        <v>4.3957293998365461E-2</v>
      </c>
      <c r="S36" s="14">
        <f>R36*1000</f>
        <v>43.957293998365458</v>
      </c>
    </row>
    <row r="37" spans="2:19" x14ac:dyDescent="0.25">
      <c r="C37" s="4" t="s">
        <v>36</v>
      </c>
      <c r="D37" s="13">
        <f>E26*F19*E3/1000/60/60</f>
        <v>7.1555555555555567E-2</v>
      </c>
      <c r="E37" s="13">
        <f>D37*1000</f>
        <v>71.555555555555571</v>
      </c>
      <c r="F37" s="6" t="s">
        <v>34</v>
      </c>
      <c r="G37" s="7"/>
      <c r="I37" s="4" t="s">
        <v>32</v>
      </c>
      <c r="J37" s="13">
        <f>E28*J36</f>
        <v>0.30898264568435568</v>
      </c>
      <c r="K37" s="13">
        <f t="shared" ref="K37:K39" si="0">J37*1000</f>
        <v>308.9826456843557</v>
      </c>
      <c r="L37" s="19">
        <f t="shared" ref="L37:L39" si="1">J37*$E$4/50</f>
        <v>4.9746205955181269E-2</v>
      </c>
      <c r="M37" s="27">
        <f t="shared" ref="M37:M38" si="2">L37*1000</f>
        <v>49.746205955181267</v>
      </c>
      <c r="O37" s="4" t="s">
        <v>32</v>
      </c>
      <c r="P37" s="13">
        <f>P36*E28</f>
        <v>0.34947413862054527</v>
      </c>
      <c r="Q37" s="13">
        <f>P37*1000</f>
        <v>349.47413862054526</v>
      </c>
      <c r="R37" s="13">
        <f t="shared" ref="R37:R39" si="3">P37*$E$4/50</f>
        <v>5.6265336317907789E-2</v>
      </c>
      <c r="S37" s="25">
        <f t="shared" ref="S37:S39" si="4">R37*1000</f>
        <v>56.265336317907789</v>
      </c>
    </row>
    <row r="38" spans="2:19" x14ac:dyDescent="0.25">
      <c r="C38" s="4" t="s">
        <v>37</v>
      </c>
      <c r="D38" s="13">
        <f>(E26*E9*F19+E27*E6*F19)/1000/60/60</f>
        <v>0.57431111111111111</v>
      </c>
      <c r="E38" s="22">
        <f t="shared" ref="E37:E40" si="5">D38*1000</f>
        <v>574.31111111111113</v>
      </c>
      <c r="F38" s="5" t="s">
        <v>35</v>
      </c>
      <c r="G38" s="7"/>
      <c r="I38" s="4" t="s">
        <v>36</v>
      </c>
      <c r="J38" s="13">
        <f>E29*J36</f>
        <v>0.57934246065816686</v>
      </c>
      <c r="K38" s="13">
        <f>J38*1000</f>
        <v>579.34246065816683</v>
      </c>
      <c r="L38" s="19">
        <f t="shared" si="1"/>
        <v>9.3274136165964874E-2</v>
      </c>
      <c r="M38" s="27">
        <f t="shared" si="2"/>
        <v>93.274136165964876</v>
      </c>
      <c r="O38" s="4" t="s">
        <v>36</v>
      </c>
      <c r="P38" s="13">
        <f>P36*E29</f>
        <v>0.65526400991352229</v>
      </c>
      <c r="Q38" s="13">
        <f t="shared" ref="Q38:Q39" si="6">P38*1000</f>
        <v>655.26400991352227</v>
      </c>
      <c r="R38" s="13">
        <f t="shared" si="3"/>
        <v>0.1054975055960771</v>
      </c>
      <c r="S38" s="25">
        <f t="shared" si="4"/>
        <v>105.49750559607709</v>
      </c>
    </row>
    <row r="39" spans="2:19" ht="15.75" thickBot="1" x14ac:dyDescent="0.3">
      <c r="C39" s="4" t="s">
        <v>38</v>
      </c>
      <c r="D39" s="13">
        <f>E26*F20*E3/1000/60/60</f>
        <v>0.10062499999999999</v>
      </c>
      <c r="E39" s="13">
        <f>D39*1000</f>
        <v>100.62499999999999</v>
      </c>
      <c r="F39" s="6" t="s">
        <v>34</v>
      </c>
      <c r="G39" s="7"/>
      <c r="I39" s="8" t="s">
        <v>44</v>
      </c>
      <c r="J39" s="15">
        <f>E30*J36</f>
        <v>0.77004268729148018</v>
      </c>
      <c r="K39" s="15">
        <f t="shared" si="0"/>
        <v>770.04268729148021</v>
      </c>
      <c r="L39" s="21">
        <f t="shared" si="1"/>
        <v>0.12397687265392833</v>
      </c>
      <c r="M39" s="28">
        <f>L39*1000</f>
        <v>123.97687265392833</v>
      </c>
      <c r="O39" s="8" t="s">
        <v>44</v>
      </c>
      <c r="P39" s="15">
        <f>P36*E30</f>
        <v>0.87095507984339005</v>
      </c>
      <c r="Q39" s="15">
        <f t="shared" si="6"/>
        <v>870.95507984339008</v>
      </c>
      <c r="R39" s="15">
        <f t="shared" si="3"/>
        <v>0.14022376785478582</v>
      </c>
      <c r="S39" s="26">
        <f t="shared" si="4"/>
        <v>140.22376785478582</v>
      </c>
    </row>
    <row r="40" spans="2:19" ht="15.75" thickBot="1" x14ac:dyDescent="0.3">
      <c r="C40" s="8" t="s">
        <v>39</v>
      </c>
      <c r="D40" s="15">
        <f>(E26*E9*F20+E27*E6*F20)/1000/60/60</f>
        <v>0.80762499999999993</v>
      </c>
      <c r="E40" s="23">
        <f t="shared" si="5"/>
        <v>807.62499999999989</v>
      </c>
      <c r="F40" s="24" t="s">
        <v>35</v>
      </c>
      <c r="G40" s="10"/>
    </row>
    <row r="43" spans="2:19" ht="15.75" thickBot="1" x14ac:dyDescent="0.3"/>
    <row r="44" spans="2:19" x14ac:dyDescent="0.25">
      <c r="B44" s="42" t="s">
        <v>49</v>
      </c>
      <c r="C44" s="11" t="s">
        <v>48</v>
      </c>
      <c r="D44" s="2">
        <v>30</v>
      </c>
      <c r="E44" s="3"/>
      <c r="G44" s="11" t="s">
        <v>48</v>
      </c>
      <c r="H44" s="2">
        <v>100</v>
      </c>
      <c r="I44" s="2"/>
      <c r="J44" s="2"/>
      <c r="K44" s="2"/>
      <c r="L44" s="2"/>
      <c r="M44" s="3"/>
    </row>
    <row r="45" spans="2:19" x14ac:dyDescent="0.25">
      <c r="C45" s="4" t="s">
        <v>47</v>
      </c>
      <c r="D45" s="6">
        <v>1</v>
      </c>
      <c r="E45" s="7">
        <v>6</v>
      </c>
      <c r="G45" s="4" t="s">
        <v>47</v>
      </c>
      <c r="H45" s="6">
        <v>6</v>
      </c>
      <c r="I45" s="6"/>
      <c r="J45" s="6"/>
      <c r="K45" s="6"/>
      <c r="L45" s="6"/>
      <c r="M45" s="7"/>
    </row>
    <row r="46" spans="2:19" x14ac:dyDescent="0.25">
      <c r="C46" s="4"/>
      <c r="D46" s="6"/>
      <c r="E46" s="7"/>
      <c r="G46" s="4"/>
      <c r="H46" s="6"/>
      <c r="I46" s="6"/>
      <c r="J46" s="6"/>
      <c r="K46" s="6"/>
      <c r="L46" s="6"/>
      <c r="M46" s="7"/>
    </row>
    <row r="47" spans="2:19" x14ac:dyDescent="0.25">
      <c r="C47" s="18" t="s">
        <v>67</v>
      </c>
      <c r="D47" s="6"/>
      <c r="E47" s="7"/>
      <c r="G47" s="18" t="s">
        <v>68</v>
      </c>
      <c r="H47" s="6"/>
      <c r="I47" s="6"/>
      <c r="J47" s="5" t="s">
        <v>69</v>
      </c>
      <c r="K47" s="6"/>
      <c r="L47" s="6"/>
      <c r="M47" s="7"/>
    </row>
    <row r="48" spans="2:19" x14ac:dyDescent="0.25">
      <c r="C48" s="18" t="s">
        <v>49</v>
      </c>
      <c r="D48" s="6" t="s">
        <v>53</v>
      </c>
      <c r="E48" s="7" t="s">
        <v>53</v>
      </c>
      <c r="G48" s="37" t="s">
        <v>60</v>
      </c>
      <c r="H48" s="6"/>
      <c r="I48" s="6"/>
      <c r="J48" s="38" t="s">
        <v>80</v>
      </c>
      <c r="K48" s="6"/>
      <c r="L48" s="6"/>
      <c r="M48" s="7"/>
    </row>
    <row r="49" spans="3:13" x14ac:dyDescent="0.25">
      <c r="C49" s="4" t="s">
        <v>50</v>
      </c>
      <c r="D49" s="33">
        <f>D37*D45*60*60</f>
        <v>257.60000000000002</v>
      </c>
      <c r="E49" s="34">
        <f>(E26*G19*E3/1000/60/60)*E45*60*60</f>
        <v>434.7</v>
      </c>
      <c r="G49" s="4" t="s">
        <v>59</v>
      </c>
      <c r="H49" s="6">
        <f>10*0.1+30*0.3+37*0.37+43*0.43+54*0.53</f>
        <v>70.8</v>
      </c>
      <c r="I49" s="6"/>
      <c r="J49" s="6" t="s">
        <v>70</v>
      </c>
      <c r="K49" s="6">
        <v>0.75</v>
      </c>
      <c r="L49" s="6"/>
      <c r="M49" s="7"/>
    </row>
    <row r="50" spans="3:13" x14ac:dyDescent="0.25">
      <c r="C50" s="4" t="s">
        <v>51</v>
      </c>
      <c r="D50" s="33">
        <f>D38*D45*60*60</f>
        <v>2067.52</v>
      </c>
      <c r="E50" s="34">
        <f>(E26*E9*G19+E27*E6*G19)/1000/60/60*E45*60*60</f>
        <v>3488.94</v>
      </c>
      <c r="G50" s="4" t="s">
        <v>62</v>
      </c>
      <c r="H50" s="6">
        <v>100</v>
      </c>
      <c r="I50" s="6"/>
      <c r="J50" s="6" t="s">
        <v>71</v>
      </c>
      <c r="K50" s="33">
        <f>65/75*100</f>
        <v>86.666666666666671</v>
      </c>
      <c r="L50" s="6">
        <v>100</v>
      </c>
      <c r="M50" s="7"/>
    </row>
    <row r="51" spans="3:13" x14ac:dyDescent="0.25">
      <c r="C51" s="4" t="s">
        <v>52</v>
      </c>
      <c r="D51" s="33">
        <f>D50-D49</f>
        <v>1809.92</v>
      </c>
      <c r="E51" s="34">
        <f>E50-E49</f>
        <v>3054.2400000000002</v>
      </c>
      <c r="G51" s="4" t="s">
        <v>61</v>
      </c>
      <c r="H51" s="6">
        <f>0.25*(H50-125)</f>
        <v>-6.25</v>
      </c>
      <c r="I51" s="6"/>
      <c r="J51" s="6" t="s">
        <v>73</v>
      </c>
      <c r="K51" s="6">
        <v>30</v>
      </c>
      <c r="L51" s="6">
        <v>40</v>
      </c>
      <c r="M51" s="7"/>
    </row>
    <row r="52" spans="3:13" x14ac:dyDescent="0.25">
      <c r="C52" s="4" t="s">
        <v>54</v>
      </c>
      <c r="D52" s="33">
        <f>D39*D45*60*60</f>
        <v>362.25</v>
      </c>
      <c r="E52" s="34">
        <f>(E26*G20*E3/1000/60/60)*E45*60*60</f>
        <v>579.6</v>
      </c>
      <c r="G52" s="4" t="s">
        <v>64</v>
      </c>
      <c r="H52" s="6">
        <f>F20</f>
        <v>45</v>
      </c>
      <c r="I52" s="6"/>
      <c r="J52" s="6" t="s">
        <v>72</v>
      </c>
      <c r="K52" s="6">
        <v>-15</v>
      </c>
      <c r="L52" s="39">
        <f>K49*K50</f>
        <v>65</v>
      </c>
      <c r="M52" s="40">
        <f>K49*K50+(100-K49*K50)</f>
        <v>100</v>
      </c>
    </row>
    <row r="53" spans="3:13" x14ac:dyDescent="0.25">
      <c r="C53" s="4" t="s">
        <v>55</v>
      </c>
      <c r="D53" s="33">
        <f>D40*D45*60*60</f>
        <v>2907.45</v>
      </c>
      <c r="E53" s="34">
        <f>(E26*E9*G20+E27*E6*G20)/1000/60/60*E45*60*60</f>
        <v>4651.92</v>
      </c>
      <c r="G53" s="4" t="s">
        <v>63</v>
      </c>
      <c r="H53" s="13">
        <f>0.45*(H52-40)^0.7</f>
        <v>1.3883261911200215</v>
      </c>
      <c r="I53" s="6"/>
      <c r="J53" s="6" t="s">
        <v>74</v>
      </c>
      <c r="K53" s="6">
        <f>K49*K50+(100-K49*K50)*K52/K51</f>
        <v>47.5</v>
      </c>
      <c r="L53" s="39">
        <f>K49*K50</f>
        <v>65</v>
      </c>
      <c r="M53" s="40">
        <f>K49*K50+(100-K49*K50)</f>
        <v>100</v>
      </c>
    </row>
    <row r="54" spans="3:13" ht="15.75" thickBot="1" x14ac:dyDescent="0.3">
      <c r="C54" s="8" t="s">
        <v>56</v>
      </c>
      <c r="D54" s="35">
        <f>D53-D52</f>
        <v>2545.1999999999998</v>
      </c>
      <c r="E54" s="36">
        <f>E53-E52</f>
        <v>4072.32</v>
      </c>
      <c r="G54" s="4" t="s">
        <v>58</v>
      </c>
      <c r="H54" s="41">
        <f>H53+H51+H49</f>
        <v>65.938326191120012</v>
      </c>
      <c r="I54" s="6"/>
      <c r="J54" s="6" t="s">
        <v>75</v>
      </c>
      <c r="K54" s="6">
        <f>K49*K50+(100-K49*K50)*L51/L50</f>
        <v>79</v>
      </c>
      <c r="L54" s="6"/>
      <c r="M54" s="7"/>
    </row>
    <row r="55" spans="3:13" x14ac:dyDescent="0.25">
      <c r="G55" s="4" t="s">
        <v>65</v>
      </c>
      <c r="H55" s="5">
        <f>H54/100*E3*G20/1000*H45</f>
        <v>3821.7853860373157</v>
      </c>
      <c r="I55" s="6"/>
      <c r="J55" s="6"/>
      <c r="K55" s="6"/>
      <c r="L55" s="6"/>
      <c r="M55" s="7"/>
    </row>
    <row r="56" spans="3:13" x14ac:dyDescent="0.25">
      <c r="G56" s="4"/>
      <c r="H56" s="6"/>
      <c r="I56" s="6"/>
      <c r="J56" s="6" t="s">
        <v>76</v>
      </c>
      <c r="K56" s="33">
        <f>K54/100*E3*G20/1000*H45</f>
        <v>4578.84</v>
      </c>
      <c r="L56" s="6"/>
      <c r="M56" s="7"/>
    </row>
    <row r="57" spans="3:13" x14ac:dyDescent="0.25">
      <c r="G57" s="37" t="s">
        <v>40</v>
      </c>
      <c r="H57" s="6"/>
      <c r="I57" s="6"/>
      <c r="J57" s="6" t="s">
        <v>77</v>
      </c>
      <c r="K57" s="6">
        <f>K53/100*E3*G20/1000*H45</f>
        <v>2753.1000000000004</v>
      </c>
      <c r="L57" s="6"/>
      <c r="M57" s="7"/>
    </row>
    <row r="58" spans="3:13" x14ac:dyDescent="0.25">
      <c r="G58" s="4" t="s">
        <v>66</v>
      </c>
      <c r="H58" s="5">
        <f>L39*60*60*H45</f>
        <v>2677.9004493248517</v>
      </c>
      <c r="I58" s="6"/>
      <c r="J58" s="6" t="s">
        <v>78</v>
      </c>
      <c r="K58" s="5">
        <f>L52/100*E3*G20/1000*H45</f>
        <v>3767.3999999999996</v>
      </c>
      <c r="L58" s="6"/>
      <c r="M58" s="7"/>
    </row>
    <row r="59" spans="3:13" x14ac:dyDescent="0.25">
      <c r="G59" s="4"/>
      <c r="H59" s="6"/>
      <c r="I59" s="6"/>
      <c r="J59" s="6"/>
      <c r="K59" s="6"/>
      <c r="L59" s="6"/>
      <c r="M59" s="7"/>
    </row>
    <row r="60" spans="3:13" x14ac:dyDescent="0.25">
      <c r="G60" s="4"/>
      <c r="H60" s="6"/>
      <c r="I60" s="6"/>
      <c r="J60" s="38" t="s">
        <v>45</v>
      </c>
      <c r="K60" s="6"/>
      <c r="L60" s="6"/>
      <c r="M60" s="7"/>
    </row>
    <row r="61" spans="3:13" x14ac:dyDescent="0.25">
      <c r="G61" s="4"/>
      <c r="H61" s="6"/>
      <c r="I61" s="6"/>
      <c r="J61" s="6" t="s">
        <v>81</v>
      </c>
      <c r="K61" s="6">
        <v>0.47</v>
      </c>
      <c r="L61" s="6"/>
      <c r="M61" s="7"/>
    </row>
    <row r="62" spans="3:13" x14ac:dyDescent="0.25">
      <c r="G62" s="4"/>
      <c r="H62" s="6"/>
      <c r="I62" s="6"/>
      <c r="J62" s="6" t="s">
        <v>82</v>
      </c>
      <c r="K62" s="6">
        <v>30</v>
      </c>
      <c r="L62" s="6">
        <v>300</v>
      </c>
      <c r="M62" s="7"/>
    </row>
    <row r="63" spans="3:13" x14ac:dyDescent="0.25">
      <c r="G63" s="4"/>
      <c r="H63" s="6"/>
      <c r="I63" s="6"/>
      <c r="J63" s="6" t="s">
        <v>83</v>
      </c>
      <c r="K63" s="13">
        <f>0.829*K50+25*K61+0.078*K62-20.7</f>
        <v>65.236666666666665</v>
      </c>
      <c r="L63" s="6"/>
      <c r="M63" s="7"/>
    </row>
    <row r="64" spans="3:13" x14ac:dyDescent="0.25">
      <c r="G64" s="4"/>
      <c r="H64" s="6"/>
      <c r="I64" s="6"/>
      <c r="J64" s="6" t="s">
        <v>84</v>
      </c>
      <c r="K64" s="13">
        <f>0.829*K50+25*K61+0.078*L62-20.7</f>
        <v>86.296666666666667</v>
      </c>
      <c r="L64" s="6"/>
      <c r="M64" s="7"/>
    </row>
    <row r="65" spans="2:13" ht="15.75" thickBot="1" x14ac:dyDescent="0.3">
      <c r="G65" s="4"/>
      <c r="H65" s="6"/>
      <c r="I65" s="6"/>
      <c r="J65" s="6" t="s">
        <v>85</v>
      </c>
      <c r="K65" s="6">
        <f>K63/100*E3*G20/1000*H45</f>
        <v>3781.1171999999997</v>
      </c>
      <c r="L65" s="6"/>
      <c r="M65" s="7"/>
    </row>
    <row r="66" spans="2:13" ht="15.75" thickBot="1" x14ac:dyDescent="0.3">
      <c r="B66" s="43" t="s">
        <v>88</v>
      </c>
      <c r="C66" s="45" t="s">
        <v>89</v>
      </c>
      <c r="D66" s="2"/>
      <c r="E66" s="3"/>
      <c r="G66" s="8"/>
      <c r="H66" s="9"/>
      <c r="I66" s="9"/>
      <c r="J66" s="9" t="s">
        <v>85</v>
      </c>
      <c r="K66" s="24">
        <f>K64/100*E3*G20/1000*H45</f>
        <v>5001.7548000000006</v>
      </c>
      <c r="L66" s="9"/>
      <c r="M66" s="10"/>
    </row>
    <row r="67" spans="2:13" x14ac:dyDescent="0.25">
      <c r="C67" s="4" t="s">
        <v>38</v>
      </c>
      <c r="D67" s="13">
        <f>E39</f>
        <v>100.62499999999999</v>
      </c>
      <c r="E67" s="7" t="s">
        <v>31</v>
      </c>
    </row>
    <row r="68" spans="2:13" x14ac:dyDescent="0.25">
      <c r="C68" s="4" t="s">
        <v>39</v>
      </c>
      <c r="D68" s="13">
        <f>E40</f>
        <v>807.62499999999989</v>
      </c>
      <c r="E68" s="7" t="s">
        <v>31</v>
      </c>
    </row>
    <row r="69" spans="2:13" x14ac:dyDescent="0.25">
      <c r="C69" s="4"/>
      <c r="D69" s="6"/>
      <c r="E69" s="7"/>
    </row>
    <row r="70" spans="2:13" x14ac:dyDescent="0.25">
      <c r="C70" s="18" t="s">
        <v>198</v>
      </c>
      <c r="D70" s="6"/>
      <c r="E70" s="7"/>
    </row>
    <row r="71" spans="2:13" x14ac:dyDescent="0.25">
      <c r="C71" s="4" t="s">
        <v>38</v>
      </c>
      <c r="D71" s="81">
        <f>D67</f>
        <v>100.62499999999999</v>
      </c>
      <c r="E71" s="7" t="s">
        <v>31</v>
      </c>
    </row>
    <row r="72" spans="2:13" x14ac:dyDescent="0.25">
      <c r="C72" s="4" t="s">
        <v>39</v>
      </c>
      <c r="D72" s="46">
        <f>D68*1.5</f>
        <v>1211.4374999999998</v>
      </c>
      <c r="E72" s="7" t="s">
        <v>31</v>
      </c>
    </row>
    <row r="73" spans="2:13" x14ac:dyDescent="0.25">
      <c r="C73" s="4" t="s">
        <v>54</v>
      </c>
      <c r="D73" s="13">
        <f>D71*1*60*60/1000</f>
        <v>362.24999999999994</v>
      </c>
      <c r="E73" s="7" t="s">
        <v>53</v>
      </c>
    </row>
    <row r="74" spans="2:13" x14ac:dyDescent="0.25">
      <c r="C74" s="4" t="s">
        <v>55</v>
      </c>
      <c r="D74" s="13">
        <f>D72*1*60*60/1000</f>
        <v>4361.1749999999993</v>
      </c>
      <c r="E74" s="7" t="s">
        <v>53</v>
      </c>
    </row>
    <row r="75" spans="2:13" x14ac:dyDescent="0.25">
      <c r="C75" s="4"/>
      <c r="D75" s="13"/>
      <c r="E75" s="7"/>
    </row>
    <row r="76" spans="2:13" ht="15.75" thickBot="1" x14ac:dyDescent="0.3">
      <c r="C76" s="17" t="s">
        <v>90</v>
      </c>
      <c r="D76" s="47">
        <f>D74-D73</f>
        <v>3998.9249999999993</v>
      </c>
      <c r="E76" s="10" t="s">
        <v>53</v>
      </c>
    </row>
    <row r="81" spans="3:5" x14ac:dyDescent="0.25">
      <c r="C81" s="44"/>
      <c r="D81" s="32"/>
      <c r="E81" s="44"/>
    </row>
    <row r="82" spans="3:5" x14ac:dyDescent="0.25">
      <c r="C82" s="44"/>
      <c r="D82" s="32"/>
      <c r="E82" s="44"/>
    </row>
    <row r="83" spans="3:5" x14ac:dyDescent="0.25">
      <c r="C83" s="44"/>
      <c r="D83" s="32"/>
      <c r="E83" s="44"/>
    </row>
    <row r="84" spans="3:5" x14ac:dyDescent="0.25">
      <c r="C84" s="44"/>
      <c r="D84" s="32"/>
      <c r="E84" s="44"/>
    </row>
    <row r="85" spans="3:5" x14ac:dyDescent="0.25">
      <c r="C85" s="44"/>
      <c r="D85" s="32"/>
      <c r="E85" s="4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34"/>
  <sheetViews>
    <sheetView workbookViewId="0">
      <selection activeCell="O9" sqref="O9"/>
    </sheetView>
  </sheetViews>
  <sheetFormatPr defaultRowHeight="15" x14ac:dyDescent="0.25"/>
  <cols>
    <col min="2" max="2" width="9.140625" customWidth="1"/>
    <col min="3" max="3" width="10.85546875" bestFit="1" customWidth="1"/>
    <col min="5" max="5" width="11.140625" customWidth="1"/>
    <col min="14" max="14" width="9.5703125" customWidth="1"/>
    <col min="15" max="15" width="10.28515625" customWidth="1"/>
  </cols>
  <sheetData>
    <row r="1" spans="2:14" ht="15.75" thickBot="1" x14ac:dyDescent="0.3"/>
    <row r="2" spans="2:14" x14ac:dyDescent="0.25">
      <c r="B2" s="45" t="s">
        <v>93</v>
      </c>
      <c r="C2" s="2"/>
      <c r="D2" s="2"/>
      <c r="E2" s="2"/>
      <c r="F2" s="2"/>
      <c r="G2" s="2"/>
      <c r="H2" s="2"/>
      <c r="I2" s="2"/>
      <c r="J2" s="2"/>
      <c r="K2" s="2"/>
      <c r="L2" s="2"/>
      <c r="M2" s="2"/>
      <c r="N2" s="3"/>
    </row>
    <row r="3" spans="2:14" x14ac:dyDescent="0.25">
      <c r="B3" s="4"/>
      <c r="C3" s="6"/>
      <c r="D3" s="6"/>
      <c r="E3" s="6"/>
      <c r="F3" s="6"/>
      <c r="G3" s="6"/>
      <c r="H3" s="6"/>
      <c r="I3" s="6"/>
      <c r="J3" s="6"/>
      <c r="K3" s="6"/>
      <c r="L3" s="6"/>
      <c r="M3" s="6"/>
      <c r="N3" s="7"/>
    </row>
    <row r="4" spans="2:14" x14ac:dyDescent="0.25">
      <c r="B4" s="4" t="s">
        <v>97</v>
      </c>
      <c r="C4" s="6" t="s">
        <v>91</v>
      </c>
      <c r="D4" s="6" t="s">
        <v>92</v>
      </c>
      <c r="E4" s="6"/>
      <c r="F4" s="6"/>
      <c r="G4" s="6"/>
      <c r="H4" s="6"/>
      <c r="I4" s="6"/>
      <c r="J4" s="6"/>
      <c r="K4" s="6"/>
      <c r="L4" s="6"/>
      <c r="M4" s="6"/>
      <c r="N4" s="7"/>
    </row>
    <row r="5" spans="2:14" x14ac:dyDescent="0.25">
      <c r="B5" s="4">
        <v>1.1000000000000001</v>
      </c>
      <c r="C5" s="6">
        <v>-200</v>
      </c>
      <c r="D5" s="6">
        <v>0</v>
      </c>
      <c r="E5" s="6"/>
      <c r="F5" s="6"/>
      <c r="G5" s="6"/>
      <c r="H5" s="6"/>
      <c r="I5" s="6"/>
      <c r="J5" s="6"/>
      <c r="K5" s="6"/>
      <c r="L5" s="6"/>
      <c r="M5" s="6"/>
      <c r="N5" s="7"/>
    </row>
    <row r="6" spans="2:14" x14ac:dyDescent="0.25">
      <c r="B6" s="4"/>
      <c r="C6" s="6">
        <v>0</v>
      </c>
      <c r="D6" s="6">
        <v>0</v>
      </c>
      <c r="E6" s="6"/>
      <c r="F6" s="6"/>
      <c r="G6" s="6"/>
      <c r="H6" s="6"/>
      <c r="I6" s="6"/>
      <c r="J6" s="6"/>
      <c r="K6" s="6"/>
      <c r="L6" s="6"/>
      <c r="M6" s="6"/>
      <c r="N6" s="7"/>
    </row>
    <row r="7" spans="2:14" x14ac:dyDescent="0.25">
      <c r="B7" s="4">
        <v>2.1</v>
      </c>
      <c r="C7" s="6">
        <v>0</v>
      </c>
      <c r="D7" s="6">
        <v>190</v>
      </c>
      <c r="E7" s="6"/>
      <c r="F7" s="6"/>
      <c r="G7" s="6"/>
      <c r="H7" s="6"/>
      <c r="I7" s="6"/>
      <c r="J7" s="6"/>
      <c r="K7" s="6"/>
      <c r="L7" s="6"/>
      <c r="M7" s="6"/>
      <c r="N7" s="7"/>
    </row>
    <row r="8" spans="2:14" x14ac:dyDescent="0.25">
      <c r="B8" s="4"/>
      <c r="C8" s="6">
        <v>0</v>
      </c>
      <c r="D8" s="6">
        <v>0</v>
      </c>
      <c r="E8" s="6"/>
      <c r="F8" s="6"/>
      <c r="G8" s="6"/>
      <c r="H8" s="6"/>
      <c r="I8" s="6"/>
      <c r="J8" s="6"/>
      <c r="K8" s="6"/>
      <c r="L8" s="6"/>
      <c r="M8" s="6"/>
      <c r="N8" s="7"/>
    </row>
    <row r="9" spans="2:14" x14ac:dyDescent="0.25">
      <c r="B9" s="4">
        <v>3.1</v>
      </c>
      <c r="C9" s="6">
        <v>170</v>
      </c>
      <c r="D9" s="6">
        <v>190</v>
      </c>
      <c r="E9" s="6"/>
      <c r="F9" s="6"/>
      <c r="G9" s="6"/>
      <c r="H9" s="6"/>
      <c r="I9" s="6"/>
      <c r="J9" s="6"/>
      <c r="K9" s="6"/>
      <c r="L9" s="6"/>
      <c r="M9" s="6"/>
      <c r="N9" s="7"/>
    </row>
    <row r="10" spans="2:14" x14ac:dyDescent="0.25">
      <c r="B10" s="4"/>
      <c r="C10" s="6">
        <v>170</v>
      </c>
      <c r="D10" s="6">
        <v>50</v>
      </c>
      <c r="E10" s="6"/>
      <c r="F10" s="6"/>
      <c r="G10" s="6"/>
      <c r="H10" s="6"/>
      <c r="I10" s="6"/>
      <c r="J10" s="6"/>
      <c r="K10" s="6"/>
      <c r="L10" s="6"/>
      <c r="M10" s="6"/>
      <c r="N10" s="7"/>
    </row>
    <row r="11" spans="2:14" x14ac:dyDescent="0.25">
      <c r="B11" s="4">
        <v>1.2</v>
      </c>
      <c r="C11" s="6">
        <v>0</v>
      </c>
      <c r="D11" s="6">
        <v>0</v>
      </c>
      <c r="E11" s="6"/>
      <c r="F11" s="6"/>
      <c r="G11" s="6"/>
      <c r="H11" s="6"/>
      <c r="I11" s="6"/>
      <c r="J11" s="6"/>
      <c r="K11" s="6"/>
      <c r="L11" s="6"/>
      <c r="M11" s="6"/>
      <c r="N11" s="7"/>
    </row>
    <row r="12" spans="2:14" x14ac:dyDescent="0.25">
      <c r="B12" s="4"/>
      <c r="C12" s="6">
        <v>170</v>
      </c>
      <c r="D12" s="6">
        <v>50</v>
      </c>
      <c r="E12" s="6"/>
      <c r="F12" s="6"/>
      <c r="G12" s="6"/>
      <c r="H12" s="6"/>
      <c r="I12" s="6"/>
      <c r="J12" s="6"/>
      <c r="K12" s="6"/>
      <c r="L12" s="6"/>
      <c r="M12" s="6"/>
      <c r="N12" s="7"/>
    </row>
    <row r="13" spans="2:14" x14ac:dyDescent="0.25">
      <c r="B13" s="4">
        <v>1.3</v>
      </c>
      <c r="C13" s="6">
        <v>170</v>
      </c>
      <c r="D13" s="6">
        <v>50</v>
      </c>
      <c r="E13" s="6"/>
      <c r="F13" s="6"/>
      <c r="G13" s="6"/>
      <c r="H13" s="6"/>
      <c r="I13" s="6"/>
      <c r="J13" s="6"/>
      <c r="K13" s="6"/>
      <c r="L13" s="6"/>
      <c r="M13" s="6"/>
      <c r="N13" s="7"/>
    </row>
    <row r="14" spans="2:14" x14ac:dyDescent="0.25">
      <c r="B14" s="4"/>
      <c r="C14" s="6">
        <v>240</v>
      </c>
      <c r="D14" s="6">
        <v>50</v>
      </c>
      <c r="E14" s="6"/>
      <c r="F14" s="6"/>
      <c r="G14" s="6"/>
      <c r="H14" s="6"/>
      <c r="I14" s="6"/>
      <c r="J14" s="6"/>
      <c r="K14" s="6"/>
      <c r="L14" s="6"/>
      <c r="M14" s="6"/>
      <c r="N14" s="7"/>
    </row>
    <row r="15" spans="2:14" x14ac:dyDescent="0.25">
      <c r="B15" s="4"/>
      <c r="C15" s="6"/>
      <c r="D15" s="6"/>
      <c r="E15" s="6"/>
      <c r="F15" s="6"/>
      <c r="G15" s="6"/>
      <c r="H15" s="6"/>
      <c r="I15" s="6"/>
      <c r="J15" s="6"/>
      <c r="K15" s="6"/>
      <c r="L15" s="6"/>
      <c r="M15" s="6"/>
      <c r="N15" s="7"/>
    </row>
    <row r="16" spans="2:14" ht="15.75" thickBot="1" x14ac:dyDescent="0.3">
      <c r="B16" s="8"/>
      <c r="C16" s="9"/>
      <c r="D16" s="9"/>
      <c r="E16" s="9"/>
      <c r="F16" s="9"/>
      <c r="G16" s="9"/>
      <c r="H16" s="9"/>
      <c r="I16" s="9"/>
      <c r="J16" s="9"/>
      <c r="K16" s="9"/>
      <c r="L16" s="9"/>
      <c r="M16" s="9"/>
      <c r="N16" s="10"/>
    </row>
    <row r="19" spans="2:15" ht="15.75" thickBot="1" x14ac:dyDescent="0.3">
      <c r="B19" s="1" t="s">
        <v>116</v>
      </c>
    </row>
    <row r="20" spans="2:15" x14ac:dyDescent="0.25">
      <c r="B20" s="11" t="s">
        <v>107</v>
      </c>
      <c r="C20" s="2">
        <f>0.6/1000</f>
        <v>5.9999999999999995E-4</v>
      </c>
      <c r="D20" s="2"/>
      <c r="E20" s="2"/>
      <c r="F20" s="2"/>
      <c r="G20" s="2"/>
      <c r="H20" s="2"/>
      <c r="I20" s="2"/>
      <c r="J20" s="2"/>
      <c r="K20" s="2"/>
      <c r="L20" s="2"/>
      <c r="M20" s="2"/>
      <c r="N20" s="2"/>
      <c r="O20" s="3"/>
    </row>
    <row r="21" spans="2:15" x14ac:dyDescent="0.25">
      <c r="B21" s="4" t="s">
        <v>108</v>
      </c>
      <c r="C21" s="6">
        <f>1.14*0.000001</f>
        <v>1.1399999999999999E-6</v>
      </c>
      <c r="D21" s="6"/>
      <c r="E21" s="6"/>
      <c r="F21" s="6"/>
      <c r="G21" s="6"/>
      <c r="H21" s="6"/>
      <c r="I21" s="6"/>
      <c r="J21" s="6"/>
      <c r="K21" s="6"/>
      <c r="L21" s="6"/>
      <c r="M21" s="6"/>
      <c r="N21" s="6"/>
      <c r="O21" s="7"/>
    </row>
    <row r="22" spans="2:15" s="48" customFormat="1" ht="48" customHeight="1" x14ac:dyDescent="0.25">
      <c r="B22" s="50" t="s">
        <v>94</v>
      </c>
      <c r="C22" s="51" t="s">
        <v>95</v>
      </c>
      <c r="D22" s="51" t="s">
        <v>98</v>
      </c>
      <c r="E22" s="51" t="s">
        <v>99</v>
      </c>
      <c r="F22" s="51" t="s">
        <v>100</v>
      </c>
      <c r="G22" s="51" t="s">
        <v>96</v>
      </c>
      <c r="H22" s="51" t="s">
        <v>101</v>
      </c>
      <c r="I22" s="51" t="s">
        <v>106</v>
      </c>
      <c r="J22" s="51" t="s">
        <v>102</v>
      </c>
      <c r="K22" s="51" t="s">
        <v>103</v>
      </c>
      <c r="L22" s="51" t="s">
        <v>104</v>
      </c>
      <c r="M22" s="51" t="s">
        <v>105</v>
      </c>
      <c r="N22" s="6" t="s">
        <v>111</v>
      </c>
      <c r="O22" s="52" t="s">
        <v>114</v>
      </c>
    </row>
    <row r="23" spans="2:15" x14ac:dyDescent="0.25">
      <c r="B23" s="4">
        <v>1.1000000000000001</v>
      </c>
      <c r="C23" s="6">
        <v>200</v>
      </c>
      <c r="D23" s="6">
        <f>1/100</f>
        <v>0.01</v>
      </c>
      <c r="E23" s="6">
        <f>C23*50</f>
        <v>10000</v>
      </c>
      <c r="F23" s="6">
        <f>E23</f>
        <v>10000</v>
      </c>
      <c r="G23" s="6">
        <v>750</v>
      </c>
      <c r="H23" s="13">
        <f t="shared" ref="H23:H30" si="0">-2*SQRT(2*9.81*D23*G23/1000)*LOG10($C$20/(3.7*G23/1000)+2.51*$C$21/(G23/1000*SQRT(2*9.81*D23*G23/1000)))</f>
        <v>2.7968992009333906</v>
      </c>
      <c r="I23" s="22">
        <f>PI()*(G23/1000)^2/4*H23*1000</f>
        <v>1235.6322162867425</v>
      </c>
      <c r="J23" s="13">
        <f>C23/H23/60</f>
        <v>1.1917960190417025</v>
      </c>
      <c r="K23" s="13">
        <f>5+J23</f>
        <v>6.1917960190417025</v>
      </c>
      <c r="L23" s="13">
        <f t="shared" ref="L23:L30" si="1">2420/(K23+9)</f>
        <v>159.29650430842563</v>
      </c>
      <c r="M23" s="22">
        <f>1*L23/1000/3600*E23*1000</f>
        <v>442.49028974562674</v>
      </c>
      <c r="N23" s="6" t="s">
        <v>112</v>
      </c>
      <c r="O23" s="7" t="s">
        <v>112</v>
      </c>
    </row>
    <row r="24" spans="2:15" x14ac:dyDescent="0.25">
      <c r="B24" s="4">
        <v>2.1</v>
      </c>
      <c r="C24" s="6">
        <v>190</v>
      </c>
      <c r="D24" s="6">
        <f>1/200</f>
        <v>5.0000000000000001E-3</v>
      </c>
      <c r="E24" s="6">
        <f>140*70</f>
        <v>9800</v>
      </c>
      <c r="F24" s="6">
        <f>E24</f>
        <v>9800</v>
      </c>
      <c r="G24" s="6">
        <v>450</v>
      </c>
      <c r="H24" s="13">
        <f t="shared" si="0"/>
        <v>1.4321912687127267</v>
      </c>
      <c r="I24" s="22">
        <f t="shared" ref="I24:I30" si="2">PI()*(G24/1000)^2/4*H24*1000</f>
        <v>227.7801793963695</v>
      </c>
      <c r="J24" s="13">
        <f t="shared" ref="J24:J30" si="3">C24/H24/60</f>
        <v>2.2110640777142221</v>
      </c>
      <c r="K24" s="13">
        <f>5+J24</f>
        <v>7.2110640777142221</v>
      </c>
      <c r="L24" s="13">
        <f t="shared" si="1"/>
        <v>149.28076210165858</v>
      </c>
      <c r="M24" s="22">
        <f>1*L24/1000/3600*E24*1000</f>
        <v>406.37540794340396</v>
      </c>
      <c r="N24" s="53" t="s">
        <v>113</v>
      </c>
      <c r="O24" s="7" t="s">
        <v>112</v>
      </c>
    </row>
    <row r="25" spans="2:15" x14ac:dyDescent="0.25">
      <c r="B25" s="4"/>
      <c r="C25" s="6">
        <f>C24</f>
        <v>190</v>
      </c>
      <c r="D25" s="6">
        <v>0.01</v>
      </c>
      <c r="E25" s="6">
        <f>E24</f>
        <v>9800</v>
      </c>
      <c r="F25" s="6">
        <f>F24</f>
        <v>9800</v>
      </c>
      <c r="G25" s="6">
        <v>500</v>
      </c>
      <c r="H25" s="13">
        <f t="shared" si="0"/>
        <v>2.1706762460791911</v>
      </c>
      <c r="I25" s="22">
        <f>PI()*(G25/1000)^2/4*H25*1000</f>
        <v>426.21128425026603</v>
      </c>
      <c r="J25" s="13">
        <f>C25/H25/60</f>
        <v>1.4588387708146227</v>
      </c>
      <c r="K25" s="13">
        <f>5+J25</f>
        <v>6.4588387708146229</v>
      </c>
      <c r="L25" s="13">
        <f t="shared" si="1"/>
        <v>156.54474672242637</v>
      </c>
      <c r="M25" s="22">
        <f>1*L25/1000/3600*E25*1000</f>
        <v>426.1495882999385</v>
      </c>
      <c r="N25" s="6" t="s">
        <v>112</v>
      </c>
      <c r="O25" s="7" t="s">
        <v>112</v>
      </c>
    </row>
    <row r="26" spans="2:15" x14ac:dyDescent="0.25">
      <c r="B26" s="4">
        <v>1.2</v>
      </c>
      <c r="C26" s="6">
        <v>170</v>
      </c>
      <c r="D26" s="6">
        <f>1/100</f>
        <v>0.01</v>
      </c>
      <c r="E26" s="6">
        <f>0.5*50*70</f>
        <v>1750</v>
      </c>
      <c r="F26" s="6">
        <f>F24+F23</f>
        <v>19800</v>
      </c>
      <c r="G26" s="6">
        <v>750</v>
      </c>
      <c r="H26" s="13">
        <f t="shared" si="0"/>
        <v>2.7968992009333906</v>
      </c>
      <c r="I26" s="22">
        <f>PI()*(G26/1000)^2/4*H26*1000</f>
        <v>1235.6322162867425</v>
      </c>
      <c r="J26" s="13">
        <f t="shared" si="3"/>
        <v>1.0130266161854471</v>
      </c>
      <c r="K26" s="46">
        <f>5+J26+K23</f>
        <v>12.204822635227149</v>
      </c>
      <c r="L26" s="13">
        <f t="shared" si="1"/>
        <v>114.124981926503</v>
      </c>
      <c r="M26" s="54">
        <f>1*L26/1000/3600*E26*1000+M24+M23</f>
        <v>904.34311945885861</v>
      </c>
      <c r="N26" s="6" t="s">
        <v>112</v>
      </c>
      <c r="O26" s="7" t="s">
        <v>112</v>
      </c>
    </row>
    <row r="27" spans="2:15" x14ac:dyDescent="0.25">
      <c r="B27" s="4">
        <v>3.1</v>
      </c>
      <c r="C27" s="6">
        <v>140</v>
      </c>
      <c r="D27" s="6">
        <f>1/200</f>
        <v>5.0000000000000001E-3</v>
      </c>
      <c r="E27" s="6">
        <f>140*100</f>
        <v>14000</v>
      </c>
      <c r="F27" s="6">
        <f>E27</f>
        <v>14000</v>
      </c>
      <c r="G27" s="6">
        <v>300</v>
      </c>
      <c r="H27" s="13">
        <f t="shared" si="0"/>
        <v>1.1063895103542354</v>
      </c>
      <c r="I27" s="22">
        <f t="shared" si="2"/>
        <v>78.206066049097672</v>
      </c>
      <c r="J27" s="13">
        <f t="shared" si="3"/>
        <v>2.1089619085291802</v>
      </c>
      <c r="K27" s="13">
        <f t="shared" ref="K27:K28" si="4">5+J27</f>
        <v>7.1089619085291798</v>
      </c>
      <c r="L27" s="13">
        <f t="shared" si="1"/>
        <v>150.22693664193764</v>
      </c>
      <c r="M27" s="22">
        <f t="shared" ref="M27:M28" si="5">1*L27/1000/3600*E27*1000</f>
        <v>584.21586471864634</v>
      </c>
      <c r="N27" s="53" t="s">
        <v>113</v>
      </c>
      <c r="O27" s="7" t="s">
        <v>112</v>
      </c>
    </row>
    <row r="28" spans="2:15" x14ac:dyDescent="0.25">
      <c r="B28" s="4"/>
      <c r="C28" s="6">
        <f>C27</f>
        <v>140</v>
      </c>
      <c r="D28" s="6">
        <v>0.01</v>
      </c>
      <c r="E28" s="6">
        <f>E27</f>
        <v>14000</v>
      </c>
      <c r="F28" s="6">
        <f>F27</f>
        <v>14000</v>
      </c>
      <c r="G28" s="6">
        <v>600</v>
      </c>
      <c r="H28" s="13">
        <f t="shared" si="0"/>
        <v>2.4335794639636625</v>
      </c>
      <c r="I28" s="22">
        <f t="shared" si="2"/>
        <v>688.07838293237069</v>
      </c>
      <c r="J28" s="13">
        <f t="shared" si="3"/>
        <v>0.95880712665652823</v>
      </c>
      <c r="K28" s="13">
        <f t="shared" si="4"/>
        <v>5.9588071266565281</v>
      </c>
      <c r="L28" s="13">
        <f t="shared" si="1"/>
        <v>161.77760562789601</v>
      </c>
      <c r="M28" s="22">
        <f t="shared" si="5"/>
        <v>629.13513299737338</v>
      </c>
      <c r="N28" s="55" t="s">
        <v>112</v>
      </c>
      <c r="O28" s="7" t="s">
        <v>112</v>
      </c>
    </row>
    <row r="29" spans="2:15" x14ac:dyDescent="0.25">
      <c r="B29" s="4">
        <v>1.3</v>
      </c>
      <c r="C29" s="6">
        <v>70</v>
      </c>
      <c r="D29" s="6">
        <f>1/100</f>
        <v>0.01</v>
      </c>
      <c r="E29" s="6">
        <f>70*140</f>
        <v>9800</v>
      </c>
      <c r="F29" s="6">
        <f>F27+F26</f>
        <v>33800</v>
      </c>
      <c r="G29" s="6">
        <v>750</v>
      </c>
      <c r="H29" s="13">
        <f t="shared" si="0"/>
        <v>2.7968992009333906</v>
      </c>
      <c r="I29" s="22">
        <f t="shared" si="2"/>
        <v>1235.6322162867425</v>
      </c>
      <c r="J29" s="13">
        <f t="shared" si="3"/>
        <v>0.41712860666459584</v>
      </c>
      <c r="K29" s="46">
        <f>5+J29+K26</f>
        <v>17.621951241891743</v>
      </c>
      <c r="L29" s="13">
        <f t="shared" si="1"/>
        <v>90.902427775163929</v>
      </c>
      <c r="M29" s="54">
        <f>1*L29/1000/3600*E29*1000+M27+M26</f>
        <v>1736.0155931210068</v>
      </c>
      <c r="N29" s="53" t="s">
        <v>113</v>
      </c>
      <c r="O29" s="7" t="s">
        <v>112</v>
      </c>
    </row>
    <row r="30" spans="2:15" ht="15.75" thickBot="1" x14ac:dyDescent="0.3">
      <c r="B30" s="8"/>
      <c r="C30" s="9">
        <f>C29</f>
        <v>70</v>
      </c>
      <c r="D30" s="9">
        <v>0.02</v>
      </c>
      <c r="E30" s="9">
        <f>E29</f>
        <v>9800</v>
      </c>
      <c r="F30" s="9">
        <f>F29</f>
        <v>33800</v>
      </c>
      <c r="G30" s="9">
        <v>750</v>
      </c>
      <c r="H30" s="15">
        <f t="shared" si="0"/>
        <v>3.9615214774005891</v>
      </c>
      <c r="I30" s="23">
        <f t="shared" si="2"/>
        <v>1750.1465770931072</v>
      </c>
      <c r="J30" s="15">
        <f t="shared" si="3"/>
        <v>0.29449964447300997</v>
      </c>
      <c r="K30" s="47">
        <f>5+J30+K26</f>
        <v>17.499322279700159</v>
      </c>
      <c r="L30" s="15">
        <f t="shared" si="1"/>
        <v>91.323090245739763</v>
      </c>
      <c r="M30" s="56">
        <f>1*L30/1000/3600*E30*1000+M27+M26</f>
        <v>1737.1607298464633</v>
      </c>
      <c r="N30" s="57" t="s">
        <v>112</v>
      </c>
      <c r="O30" s="10" t="s">
        <v>112</v>
      </c>
    </row>
    <row r="32" spans="2:15" x14ac:dyDescent="0.25">
      <c r="B32" s="1" t="s">
        <v>115</v>
      </c>
    </row>
    <row r="33" spans="2:2" x14ac:dyDescent="0.25">
      <c r="B33" s="49" t="s">
        <v>109</v>
      </c>
    </row>
    <row r="34" spans="2:2" x14ac:dyDescent="0.25">
      <c r="B34" s="49" t="s">
        <v>110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U27"/>
  <sheetViews>
    <sheetView zoomScaleNormal="100" workbookViewId="0">
      <selection activeCell="O7" sqref="O7"/>
    </sheetView>
  </sheetViews>
  <sheetFormatPr defaultColWidth="8.85546875" defaultRowHeight="15" x14ac:dyDescent="0.25"/>
  <cols>
    <col min="6" max="6" width="13" customWidth="1"/>
    <col min="8" max="8" width="9.7109375" customWidth="1"/>
    <col min="10" max="10" width="11" customWidth="1"/>
    <col min="12" max="12" width="11.7109375" customWidth="1"/>
    <col min="14" max="14" width="9.42578125" bestFit="1" customWidth="1"/>
  </cols>
  <sheetData>
    <row r="2" spans="2:21" x14ac:dyDescent="0.25">
      <c r="B2" s="58" t="s">
        <v>117</v>
      </c>
      <c r="C2" s="59"/>
      <c r="D2" s="60"/>
      <c r="E2" t="s">
        <v>118</v>
      </c>
      <c r="J2" s="1" t="s">
        <v>119</v>
      </c>
      <c r="K2" s="75" t="s">
        <v>195</v>
      </c>
      <c r="M2" s="1" t="s">
        <v>120</v>
      </c>
      <c r="O2" s="1" t="s">
        <v>121</v>
      </c>
    </row>
    <row r="3" spans="2:21" x14ac:dyDescent="0.25">
      <c r="B3" s="61" t="s">
        <v>122</v>
      </c>
      <c r="C3" s="62">
        <f>50*100-'SuDS - Swale'!C10-'SuDS - Ponds'!C10</f>
        <v>4642.9203673205102</v>
      </c>
      <c r="D3" s="63"/>
      <c r="E3" t="s">
        <v>123</v>
      </c>
      <c r="F3" s="64">
        <f>I14+100*10+I11/2+35*10</f>
        <v>4150</v>
      </c>
      <c r="G3" s="64" t="s">
        <v>0</v>
      </c>
      <c r="J3" t="s">
        <v>124</v>
      </c>
      <c r="K3" s="32">
        <f>C17*(C13/C10*C16/1000-O$3/1000)/M$3</f>
        <v>1.3724777904707752</v>
      </c>
      <c r="L3" t="s">
        <v>125</v>
      </c>
      <c r="M3">
        <v>0.3</v>
      </c>
      <c r="O3">
        <v>0.1</v>
      </c>
      <c r="P3" t="s">
        <v>126</v>
      </c>
    </row>
    <row r="4" spans="2:21" x14ac:dyDescent="0.25">
      <c r="B4" s="61" t="s">
        <v>127</v>
      </c>
      <c r="C4" s="62">
        <f>50*20</f>
        <v>1000</v>
      </c>
      <c r="D4" s="63"/>
      <c r="E4" t="s">
        <v>128</v>
      </c>
      <c r="F4" s="64">
        <f>35*10+80*10+20*10</f>
        <v>1350</v>
      </c>
      <c r="G4" s="64" t="s">
        <v>0</v>
      </c>
      <c r="J4" t="s">
        <v>129</v>
      </c>
      <c r="K4" s="32">
        <f>C21*(C13/C10*C20/1000-O3/1000)/M3</f>
        <v>0.85871528571090139</v>
      </c>
      <c r="L4" t="s">
        <v>125</v>
      </c>
      <c r="U4" s="65"/>
    </row>
    <row r="5" spans="2:21" x14ac:dyDescent="0.25">
      <c r="B5" s="61" t="s">
        <v>130</v>
      </c>
      <c r="C5" s="62">
        <f>50*10</f>
        <v>500</v>
      </c>
      <c r="D5" s="63"/>
      <c r="E5" t="s">
        <v>131</v>
      </c>
      <c r="F5" s="64">
        <f>85*10+20*10+20*10</f>
        <v>1250</v>
      </c>
      <c r="G5" s="64" t="s">
        <v>0</v>
      </c>
      <c r="J5" t="s">
        <v>132</v>
      </c>
      <c r="K5" s="32">
        <f>C23*(C13/C10*C22/1000-O3/1000)/M3</f>
        <v>0.95383179893803849</v>
      </c>
      <c r="L5" t="s">
        <v>125</v>
      </c>
      <c r="U5" s="65"/>
    </row>
    <row r="6" spans="2:21" x14ac:dyDescent="0.25">
      <c r="B6" s="61" t="s">
        <v>133</v>
      </c>
      <c r="C6" s="62">
        <f>150*3+50*20</f>
        <v>1450</v>
      </c>
      <c r="D6" s="63"/>
      <c r="E6" t="s">
        <v>134</v>
      </c>
      <c r="F6" s="64">
        <f>I13/2</f>
        <v>4200</v>
      </c>
      <c r="G6" s="64" t="s">
        <v>0</v>
      </c>
      <c r="J6" t="s">
        <v>135</v>
      </c>
      <c r="K6" s="32">
        <f>C25*(C13/C10*C24/1000-O3/1000)/M3</f>
        <v>1.1440648253923127</v>
      </c>
      <c r="L6" t="s">
        <v>125</v>
      </c>
      <c r="U6" s="65"/>
    </row>
    <row r="7" spans="2:21" x14ac:dyDescent="0.25">
      <c r="B7" s="61" t="s">
        <v>136</v>
      </c>
      <c r="C7" s="62">
        <f>170*3+170*3</f>
        <v>1020</v>
      </c>
      <c r="D7" s="63"/>
      <c r="E7" t="s">
        <v>137</v>
      </c>
      <c r="F7" s="64">
        <f>I10/2</f>
        <v>2937.5</v>
      </c>
      <c r="G7" s="64" t="s">
        <v>0</v>
      </c>
      <c r="J7" t="s">
        <v>138</v>
      </c>
      <c r="K7" s="66">
        <f>C27*(C13/C10*C26/1000-O3/1000)/M3</f>
        <v>1.8246370539610339</v>
      </c>
      <c r="L7" t="s">
        <v>125</v>
      </c>
    </row>
    <row r="8" spans="2:21" x14ac:dyDescent="0.25">
      <c r="B8" s="61" t="s">
        <v>139</v>
      </c>
      <c r="C8" s="62">
        <f>(140*3+70*3)*2+10*40</f>
        <v>1660</v>
      </c>
      <c r="D8" s="63"/>
      <c r="E8" t="s">
        <v>140</v>
      </c>
      <c r="F8" s="64">
        <f>I17</f>
        <v>9540</v>
      </c>
      <c r="G8" s="64" t="s">
        <v>0</v>
      </c>
    </row>
    <row r="9" spans="2:21" x14ac:dyDescent="0.25">
      <c r="B9" s="61"/>
      <c r="C9" s="62"/>
      <c r="D9" s="63"/>
      <c r="F9" s="67">
        <f>SUM(F3:F8)</f>
        <v>23427.5</v>
      </c>
      <c r="G9" s="64" t="s">
        <v>0</v>
      </c>
      <c r="H9" s="1" t="s">
        <v>141</v>
      </c>
      <c r="L9" t="s">
        <v>142</v>
      </c>
    </row>
    <row r="10" spans="2:21" x14ac:dyDescent="0.25">
      <c r="B10" s="68"/>
      <c r="C10" s="76">
        <f>SUM(C3:C9)</f>
        <v>10272.92036732051</v>
      </c>
      <c r="D10" s="70" t="s">
        <v>0</v>
      </c>
      <c r="H10" t="s">
        <v>143</v>
      </c>
      <c r="I10" s="64">
        <f>165*25+70*25</f>
        <v>5875</v>
      </c>
      <c r="L10" t="s">
        <v>144</v>
      </c>
      <c r="M10" s="64">
        <f>C10+'SuDS - PPave (2)'!C10</f>
        <v>15137.92036732051</v>
      </c>
      <c r="N10" s="64"/>
      <c r="O10" s="64"/>
      <c r="P10" s="64"/>
      <c r="Q10" s="64"/>
      <c r="R10" s="64"/>
      <c r="S10" s="64"/>
    </row>
    <row r="11" spans="2:21" x14ac:dyDescent="0.25">
      <c r="H11" t="s">
        <v>145</v>
      </c>
      <c r="I11" s="64">
        <f>20*50</f>
        <v>1000</v>
      </c>
      <c r="L11" t="s">
        <v>146</v>
      </c>
      <c r="M11" s="65">
        <f>'SuDS - Swale'!C10</f>
        <v>200</v>
      </c>
      <c r="N11" s="64"/>
    </row>
    <row r="12" spans="2:21" x14ac:dyDescent="0.25">
      <c r="B12" t="s">
        <v>118</v>
      </c>
      <c r="H12" t="s">
        <v>147</v>
      </c>
      <c r="I12" s="64">
        <f>50*20</f>
        <v>1000</v>
      </c>
      <c r="L12" t="s">
        <v>148</v>
      </c>
      <c r="M12" s="65">
        <f>'SuDS - IB'!C10</f>
        <v>1000</v>
      </c>
      <c r="N12" s="64"/>
      <c r="O12" s="64"/>
    </row>
    <row r="13" spans="2:21" x14ac:dyDescent="0.25">
      <c r="B13" t="s">
        <v>149</v>
      </c>
      <c r="C13" s="77">
        <f>Hydrology!E6-2*PI()*10^2/4-80*15*2-17*40*2-18*100-70*25-100*2-30*30-10*10-80*40</f>
        <v>58832.920367320505</v>
      </c>
      <c r="D13" s="64" t="s">
        <v>0</v>
      </c>
      <c r="E13" s="64"/>
      <c r="F13" s="64"/>
      <c r="H13" t="s">
        <v>150</v>
      </c>
      <c r="I13" s="64">
        <f>140*20+25*20+30*25+115*30+30*30</f>
        <v>8400</v>
      </c>
      <c r="L13" t="s">
        <v>144</v>
      </c>
      <c r="M13" s="65">
        <f>'SuDS - Ponds'!C10</f>
        <v>157.07963267948966</v>
      </c>
      <c r="N13" s="64"/>
      <c r="S13" s="64"/>
    </row>
    <row r="14" spans="2:21" x14ac:dyDescent="0.25">
      <c r="H14" t="s">
        <v>151</v>
      </c>
      <c r="I14" s="64">
        <f>55*20+60*20</f>
        <v>2300</v>
      </c>
      <c r="L14" t="s">
        <v>152</v>
      </c>
      <c r="M14" s="64">
        <f>I21</f>
        <v>50465</v>
      </c>
    </row>
    <row r="15" spans="2:21" x14ac:dyDescent="0.25">
      <c r="B15" t="s">
        <v>153</v>
      </c>
      <c r="H15" t="s">
        <v>154</v>
      </c>
      <c r="I15" s="64">
        <f>30*20</f>
        <v>600</v>
      </c>
      <c r="M15" s="64"/>
    </row>
    <row r="16" spans="2:21" x14ac:dyDescent="0.25">
      <c r="B16" t="s">
        <v>155</v>
      </c>
      <c r="C16">
        <v>12</v>
      </c>
      <c r="D16" t="s">
        <v>156</v>
      </c>
      <c r="H16" t="s">
        <v>157</v>
      </c>
      <c r="I16" s="64">
        <f>(20+30)/2*150</f>
        <v>3750</v>
      </c>
      <c r="M16" s="64"/>
      <c r="N16" s="64"/>
      <c r="O16" s="64"/>
    </row>
    <row r="17" spans="2:16" x14ac:dyDescent="0.25">
      <c r="B17" t="s">
        <v>158</v>
      </c>
      <c r="C17">
        <f>6</f>
        <v>6</v>
      </c>
      <c r="D17" t="s">
        <v>159</v>
      </c>
      <c r="H17" t="s">
        <v>160</v>
      </c>
      <c r="I17" s="64">
        <f>70*160-C8</f>
        <v>9540</v>
      </c>
      <c r="J17" s="64">
        <f>SUM(I10:I17)</f>
        <v>32465</v>
      </c>
      <c r="K17" s="64" t="s">
        <v>0</v>
      </c>
      <c r="M17" s="64"/>
      <c r="N17" s="64"/>
      <c r="O17" s="64"/>
      <c r="P17" s="64"/>
    </row>
    <row r="18" spans="2:16" x14ac:dyDescent="0.25">
      <c r="B18" t="s">
        <v>155</v>
      </c>
      <c r="C18">
        <v>70</v>
      </c>
      <c r="D18" t="s">
        <v>156</v>
      </c>
      <c r="H18" t="s">
        <v>161</v>
      </c>
      <c r="I18" s="64">
        <f>160*60</f>
        <v>9600</v>
      </c>
      <c r="M18" s="64"/>
    </row>
    <row r="19" spans="2:16" x14ac:dyDescent="0.25">
      <c r="B19" t="s">
        <v>158</v>
      </c>
      <c r="C19">
        <v>0.5</v>
      </c>
      <c r="D19" t="s">
        <v>162</v>
      </c>
      <c r="H19" t="s">
        <v>163</v>
      </c>
      <c r="I19" s="64">
        <f>150*20+35*25+20*105+30*50</f>
        <v>7475</v>
      </c>
    </row>
    <row r="20" spans="2:16" x14ac:dyDescent="0.25">
      <c r="B20" t="s">
        <v>155</v>
      </c>
      <c r="C20">
        <v>45</v>
      </c>
      <c r="D20" t="s">
        <v>156</v>
      </c>
      <c r="H20" t="s">
        <v>164</v>
      </c>
      <c r="I20" s="64">
        <f>25*25+15*20</f>
        <v>925</v>
      </c>
      <c r="J20" s="64">
        <f>SUM(I18:I20)</f>
        <v>18000</v>
      </c>
      <c r="K20" s="64" t="s">
        <v>0</v>
      </c>
    </row>
    <row r="21" spans="2:16" x14ac:dyDescent="0.25">
      <c r="B21" t="s">
        <v>158</v>
      </c>
      <c r="C21">
        <v>1</v>
      </c>
      <c r="D21" t="s">
        <v>165</v>
      </c>
      <c r="I21" s="67">
        <f>SUM(I10:I20)</f>
        <v>50465</v>
      </c>
      <c r="J21" t="s">
        <v>0</v>
      </c>
    </row>
    <row r="22" spans="2:16" x14ac:dyDescent="0.25">
      <c r="B22" t="s">
        <v>155</v>
      </c>
      <c r="C22">
        <v>25</v>
      </c>
      <c r="D22" t="s">
        <v>156</v>
      </c>
      <c r="I22" s="64"/>
    </row>
    <row r="23" spans="2:16" x14ac:dyDescent="0.25">
      <c r="B23" t="s">
        <v>158</v>
      </c>
      <c r="C23">
        <v>2</v>
      </c>
      <c r="D23" t="s">
        <v>166</v>
      </c>
      <c r="I23" s="64"/>
    </row>
    <row r="24" spans="2:16" x14ac:dyDescent="0.25">
      <c r="B24" t="s">
        <v>155</v>
      </c>
      <c r="C24">
        <v>15</v>
      </c>
      <c r="D24" t="s">
        <v>156</v>
      </c>
      <c r="I24" s="64"/>
    </row>
    <row r="25" spans="2:16" x14ac:dyDescent="0.25">
      <c r="B25" t="s">
        <v>158</v>
      </c>
      <c r="C25">
        <v>4</v>
      </c>
      <c r="D25" t="s">
        <v>167</v>
      </c>
    </row>
    <row r="26" spans="2:16" x14ac:dyDescent="0.25">
      <c r="B26" t="s">
        <v>155</v>
      </c>
      <c r="C26" s="71">
        <v>4</v>
      </c>
      <c r="D26" t="s">
        <v>156</v>
      </c>
    </row>
    <row r="27" spans="2:16" x14ac:dyDescent="0.25">
      <c r="B27" t="s">
        <v>158</v>
      </c>
      <c r="C27">
        <v>24</v>
      </c>
      <c r="D27" t="s">
        <v>168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U27"/>
  <sheetViews>
    <sheetView workbookViewId="0">
      <selection activeCell="N6" sqref="N6"/>
    </sheetView>
  </sheetViews>
  <sheetFormatPr defaultColWidth="8.85546875" defaultRowHeight="15" x14ac:dyDescent="0.25"/>
  <cols>
    <col min="6" max="6" width="13" customWidth="1"/>
    <col min="8" max="8" width="9.7109375" customWidth="1"/>
    <col min="9" max="9" width="10.140625" customWidth="1"/>
    <col min="10" max="10" width="12.5703125" customWidth="1"/>
    <col min="12" max="12" width="11.42578125" customWidth="1"/>
  </cols>
  <sheetData>
    <row r="2" spans="2:21" x14ac:dyDescent="0.25">
      <c r="B2" s="58" t="s">
        <v>117</v>
      </c>
      <c r="C2" s="59"/>
      <c r="D2" s="60"/>
      <c r="E2" t="s">
        <v>118</v>
      </c>
      <c r="J2" s="1" t="s">
        <v>119</v>
      </c>
      <c r="K2" s="75" t="s">
        <v>195</v>
      </c>
      <c r="M2" s="1" t="s">
        <v>120</v>
      </c>
      <c r="O2" s="1" t="s">
        <v>121</v>
      </c>
    </row>
    <row r="3" spans="2:21" x14ac:dyDescent="0.25">
      <c r="B3" s="61" t="s">
        <v>169</v>
      </c>
      <c r="C3" s="62">
        <f>160*3+55*3</f>
        <v>645</v>
      </c>
      <c r="D3" s="63"/>
      <c r="E3" t="s">
        <v>170</v>
      </c>
      <c r="F3" s="64">
        <f>I18/2</f>
        <v>4800</v>
      </c>
      <c r="G3" s="64" t="s">
        <v>0</v>
      </c>
      <c r="J3" t="s">
        <v>124</v>
      </c>
      <c r="K3" s="32">
        <f>C17*(C13/C11*C16/1000-O$3/1000)/M$3</f>
        <v>0.93075037426136342</v>
      </c>
      <c r="L3" t="s">
        <v>125</v>
      </c>
      <c r="M3">
        <v>0.3</v>
      </c>
      <c r="O3">
        <v>0.1</v>
      </c>
      <c r="P3" t="s">
        <v>126</v>
      </c>
    </row>
    <row r="4" spans="2:21" x14ac:dyDescent="0.25">
      <c r="B4" s="61" t="s">
        <v>171</v>
      </c>
      <c r="C4" s="62">
        <f>60*4+30*15</f>
        <v>690</v>
      </c>
      <c r="D4" s="63"/>
      <c r="E4" t="s">
        <v>172</v>
      </c>
      <c r="F4" s="64">
        <f>60*20</f>
        <v>1200</v>
      </c>
      <c r="G4" s="64" t="s">
        <v>0</v>
      </c>
      <c r="J4" t="s">
        <v>129</v>
      </c>
      <c r="K4" s="32">
        <f>C21*(C13/C11*C20/1000-O3/1000)/M3</f>
        <v>0.58263565058001887</v>
      </c>
      <c r="L4" t="s">
        <v>125</v>
      </c>
      <c r="U4" s="65"/>
    </row>
    <row r="5" spans="2:21" x14ac:dyDescent="0.25">
      <c r="B5" s="61" t="s">
        <v>173</v>
      </c>
      <c r="C5" s="62">
        <f>20*20+100*10</f>
        <v>1400</v>
      </c>
      <c r="D5" s="63"/>
      <c r="E5" t="s">
        <v>174</v>
      </c>
      <c r="F5" s="64">
        <f>140*10+50*20+120*10</f>
        <v>3600</v>
      </c>
      <c r="G5" s="64" t="s">
        <v>0</v>
      </c>
      <c r="J5" t="s">
        <v>132</v>
      </c>
      <c r="K5" s="32">
        <f>C23*(C13/C11*C22/1000-O3/1000)/M3</f>
        <v>0.64707664879261351</v>
      </c>
      <c r="L5" t="s">
        <v>125</v>
      </c>
      <c r="U5" s="65"/>
    </row>
    <row r="6" spans="2:21" x14ac:dyDescent="0.25">
      <c r="B6" s="61" t="s">
        <v>175</v>
      </c>
      <c r="C6" s="62">
        <f>160*3+40*25/2</f>
        <v>980</v>
      </c>
      <c r="D6" s="63"/>
      <c r="E6" t="s">
        <v>176</v>
      </c>
      <c r="F6" s="64">
        <f>150*10+50*10+300</f>
        <v>2300</v>
      </c>
      <c r="G6" s="64" t="s">
        <v>0</v>
      </c>
      <c r="J6" t="s">
        <v>135</v>
      </c>
      <c r="K6" s="32">
        <f>C25*(C13/C11*C24/1000-O3/1000)/M3</f>
        <v>0.77595864521780289</v>
      </c>
      <c r="L6" t="s">
        <v>125</v>
      </c>
      <c r="U6" s="65"/>
    </row>
    <row r="7" spans="2:21" x14ac:dyDescent="0.25">
      <c r="B7" s="61" t="s">
        <v>177</v>
      </c>
      <c r="C7" s="62">
        <f>50*12/2+20*5</f>
        <v>400</v>
      </c>
      <c r="D7" s="63"/>
      <c r="E7" t="s">
        <v>178</v>
      </c>
      <c r="F7" s="64">
        <f>50*10+400</f>
        <v>900</v>
      </c>
      <c r="G7" s="64" t="s">
        <v>0</v>
      </c>
      <c r="J7" t="s">
        <v>138</v>
      </c>
      <c r="K7" s="66">
        <f>C27*(C13/C11*C26/1000-O3/1000)/M3</f>
        <v>1.2356671656818179</v>
      </c>
      <c r="L7" t="s">
        <v>125</v>
      </c>
    </row>
    <row r="8" spans="2:21" x14ac:dyDescent="0.25">
      <c r="B8" s="61" t="s">
        <v>179</v>
      </c>
      <c r="C8" s="62">
        <f>130*5+20*5</f>
        <v>750</v>
      </c>
      <c r="D8" s="63"/>
      <c r="E8" t="s">
        <v>180</v>
      </c>
      <c r="F8" s="64">
        <f>120*30+100*10</f>
        <v>4600</v>
      </c>
      <c r="G8" s="64" t="s">
        <v>0</v>
      </c>
    </row>
    <row r="9" spans="2:21" x14ac:dyDescent="0.25">
      <c r="B9" s="61"/>
      <c r="C9" s="62"/>
      <c r="D9" s="63"/>
      <c r="F9" s="67">
        <f>SUM(F3:F8)</f>
        <v>17400</v>
      </c>
      <c r="G9" s="64" t="s">
        <v>0</v>
      </c>
      <c r="H9" s="1" t="s">
        <v>141</v>
      </c>
    </row>
    <row r="10" spans="2:21" x14ac:dyDescent="0.25">
      <c r="B10" s="68"/>
      <c r="C10" s="76">
        <f>SUM(C3:C9)</f>
        <v>4865</v>
      </c>
      <c r="D10" s="70" t="s">
        <v>0</v>
      </c>
      <c r="H10" t="s">
        <v>143</v>
      </c>
      <c r="I10" s="64">
        <f>165*25+70*25</f>
        <v>5875</v>
      </c>
    </row>
    <row r="11" spans="2:21" x14ac:dyDescent="0.25">
      <c r="B11" s="78" t="s">
        <v>181</v>
      </c>
      <c r="C11" s="80">
        <f>C10+'SuDS - PPave (1)'!C10</f>
        <v>15137.92036732051</v>
      </c>
      <c r="D11" s="79"/>
      <c r="H11" t="s">
        <v>145</v>
      </c>
      <c r="I11" s="64">
        <f>20*50</f>
        <v>1000</v>
      </c>
    </row>
    <row r="12" spans="2:21" x14ac:dyDescent="0.25">
      <c r="B12" t="s">
        <v>118</v>
      </c>
      <c r="H12" t="s">
        <v>147</v>
      </c>
      <c r="I12" s="64">
        <f>50*20</f>
        <v>1000</v>
      </c>
    </row>
    <row r="13" spans="2:21" x14ac:dyDescent="0.25">
      <c r="B13" t="s">
        <v>149</v>
      </c>
      <c r="C13" s="77">
        <f>Hydrology!E6-2*PI()*10^2/4-80*15*2-17*40*2-18*100-70*25-100*2-30*30-10*10-80*40</f>
        <v>58832.920367320505</v>
      </c>
      <c r="D13" s="64" t="s">
        <v>0</v>
      </c>
      <c r="E13" s="64"/>
      <c r="F13" s="64"/>
      <c r="H13" t="s">
        <v>150</v>
      </c>
      <c r="I13" s="64">
        <f>140*20+25*20+30*25+115*30+30*30</f>
        <v>8400</v>
      </c>
    </row>
    <row r="14" spans="2:21" x14ac:dyDescent="0.25">
      <c r="H14" t="s">
        <v>151</v>
      </c>
      <c r="I14" s="64">
        <f>55*20+60*20</f>
        <v>2300</v>
      </c>
    </row>
    <row r="15" spans="2:21" x14ac:dyDescent="0.25">
      <c r="B15" t="s">
        <v>153</v>
      </c>
      <c r="H15" t="s">
        <v>154</v>
      </c>
      <c r="I15" s="64">
        <f>30*20</f>
        <v>600</v>
      </c>
    </row>
    <row r="16" spans="2:21" x14ac:dyDescent="0.25">
      <c r="B16" t="s">
        <v>155</v>
      </c>
      <c r="C16">
        <v>12</v>
      </c>
      <c r="D16" t="s">
        <v>156</v>
      </c>
      <c r="H16" t="s">
        <v>157</v>
      </c>
      <c r="I16" s="64">
        <f>(20+30)/2*150</f>
        <v>3750</v>
      </c>
    </row>
    <row r="17" spans="2:11" x14ac:dyDescent="0.25">
      <c r="B17" t="s">
        <v>158</v>
      </c>
      <c r="C17">
        <f>6</f>
        <v>6</v>
      </c>
      <c r="D17" t="s">
        <v>159</v>
      </c>
      <c r="H17" t="s">
        <v>160</v>
      </c>
      <c r="I17" s="64">
        <f>70*160-'SuDS - PPave (1)'!C8</f>
        <v>9540</v>
      </c>
      <c r="J17" s="64">
        <f>SUM(I10:I17)</f>
        <v>32465</v>
      </c>
      <c r="K17" s="64" t="s">
        <v>0</v>
      </c>
    </row>
    <row r="18" spans="2:11" x14ac:dyDescent="0.25">
      <c r="B18" t="s">
        <v>155</v>
      </c>
      <c r="C18">
        <v>70</v>
      </c>
      <c r="D18" t="s">
        <v>156</v>
      </c>
      <c r="H18" t="s">
        <v>161</v>
      </c>
      <c r="I18" s="64">
        <f>160*60</f>
        <v>9600</v>
      </c>
    </row>
    <row r="19" spans="2:11" x14ac:dyDescent="0.25">
      <c r="B19" t="s">
        <v>158</v>
      </c>
      <c r="C19">
        <v>0.5</v>
      </c>
      <c r="D19" t="s">
        <v>162</v>
      </c>
      <c r="H19" t="s">
        <v>163</v>
      </c>
      <c r="I19" s="64">
        <f>150*20+35*25+20*105+30*50</f>
        <v>7475</v>
      </c>
    </row>
    <row r="20" spans="2:11" x14ac:dyDescent="0.25">
      <c r="B20" t="s">
        <v>155</v>
      </c>
      <c r="C20">
        <v>45</v>
      </c>
      <c r="D20" t="s">
        <v>156</v>
      </c>
      <c r="H20" t="s">
        <v>164</v>
      </c>
      <c r="I20" s="64">
        <f>25*25+15*20</f>
        <v>925</v>
      </c>
      <c r="J20" s="64">
        <f>SUM(I18:I20)</f>
        <v>18000</v>
      </c>
      <c r="K20" s="64" t="s">
        <v>0</v>
      </c>
    </row>
    <row r="21" spans="2:11" x14ac:dyDescent="0.25">
      <c r="B21" t="s">
        <v>158</v>
      </c>
      <c r="C21">
        <v>1</v>
      </c>
      <c r="D21" t="s">
        <v>165</v>
      </c>
      <c r="I21" s="67">
        <f>SUM(I10:I20)</f>
        <v>50465</v>
      </c>
      <c r="J21" t="s">
        <v>0</v>
      </c>
    </row>
    <row r="22" spans="2:11" x14ac:dyDescent="0.25">
      <c r="B22" t="s">
        <v>155</v>
      </c>
      <c r="C22">
        <v>25</v>
      </c>
      <c r="D22" t="s">
        <v>156</v>
      </c>
    </row>
    <row r="23" spans="2:11" x14ac:dyDescent="0.25">
      <c r="B23" t="s">
        <v>158</v>
      </c>
      <c r="C23">
        <v>2</v>
      </c>
      <c r="D23" t="s">
        <v>166</v>
      </c>
    </row>
    <row r="24" spans="2:11" x14ac:dyDescent="0.25">
      <c r="B24" t="s">
        <v>155</v>
      </c>
      <c r="C24">
        <v>15</v>
      </c>
      <c r="D24" t="s">
        <v>156</v>
      </c>
    </row>
    <row r="25" spans="2:11" x14ac:dyDescent="0.25">
      <c r="B25" t="s">
        <v>158</v>
      </c>
      <c r="C25">
        <v>4</v>
      </c>
      <c r="D25" t="s">
        <v>167</v>
      </c>
    </row>
    <row r="26" spans="2:11" x14ac:dyDescent="0.25">
      <c r="B26" t="s">
        <v>155</v>
      </c>
      <c r="C26" s="71">
        <v>4</v>
      </c>
      <c r="D26" t="s">
        <v>156</v>
      </c>
    </row>
    <row r="27" spans="2:11" x14ac:dyDescent="0.25">
      <c r="B27" t="s">
        <v>158</v>
      </c>
      <c r="C27">
        <v>24</v>
      </c>
      <c r="D27" t="s">
        <v>168</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27"/>
  <sheetViews>
    <sheetView workbookViewId="0">
      <selection activeCell="Q6" sqref="Q6"/>
    </sheetView>
  </sheetViews>
  <sheetFormatPr defaultColWidth="8.85546875" defaultRowHeight="15" x14ac:dyDescent="0.25"/>
  <sheetData>
    <row r="2" spans="2:15" x14ac:dyDescent="0.25">
      <c r="B2" s="58" t="s">
        <v>117</v>
      </c>
      <c r="C2" s="59"/>
      <c r="D2" s="60"/>
      <c r="E2" t="s">
        <v>118</v>
      </c>
      <c r="K2" s="1" t="s">
        <v>119</v>
      </c>
      <c r="N2" t="s">
        <v>182</v>
      </c>
    </row>
    <row r="3" spans="2:15" x14ac:dyDescent="0.25">
      <c r="B3" s="61" t="s">
        <v>183</v>
      </c>
      <c r="C3" s="33">
        <f>100*1</f>
        <v>100</v>
      </c>
      <c r="D3" s="63"/>
      <c r="E3" t="s">
        <v>123</v>
      </c>
      <c r="F3" s="64" t="s">
        <v>184</v>
      </c>
      <c r="G3" s="64"/>
      <c r="K3" t="s">
        <v>185</v>
      </c>
      <c r="L3" s="32">
        <v>0.2</v>
      </c>
      <c r="M3" t="s">
        <v>125</v>
      </c>
      <c r="N3" s="65"/>
      <c r="O3" t="s">
        <v>53</v>
      </c>
    </row>
    <row r="4" spans="2:15" x14ac:dyDescent="0.25">
      <c r="B4" s="61" t="s">
        <v>186</v>
      </c>
      <c r="C4" s="33">
        <f>100*1</f>
        <v>100</v>
      </c>
      <c r="D4" s="63"/>
      <c r="E4" t="s">
        <v>128</v>
      </c>
      <c r="F4" s="64" t="s">
        <v>184</v>
      </c>
      <c r="G4" s="64"/>
      <c r="L4" s="32"/>
    </row>
    <row r="5" spans="2:15" x14ac:dyDescent="0.25">
      <c r="B5" s="61"/>
      <c r="C5" s="33"/>
      <c r="D5" s="63"/>
      <c r="F5" s="64"/>
      <c r="G5" s="64"/>
      <c r="L5" s="32"/>
    </row>
    <row r="6" spans="2:15" x14ac:dyDescent="0.25">
      <c r="B6" s="61"/>
      <c r="C6" s="33"/>
      <c r="D6" s="63"/>
      <c r="F6" s="64"/>
      <c r="G6" s="64"/>
      <c r="K6" t="s">
        <v>187</v>
      </c>
      <c r="L6" s="32">
        <f>L7^0.5/L8*(L9/L10)^(2/3)</f>
        <v>0.2495360158568351</v>
      </c>
      <c r="M6" t="s">
        <v>30</v>
      </c>
      <c r="O6">
        <v>0.21</v>
      </c>
    </row>
    <row r="7" spans="2:15" x14ac:dyDescent="0.25">
      <c r="B7" s="61"/>
      <c r="C7" s="33"/>
      <c r="D7" s="63"/>
      <c r="F7" s="64"/>
      <c r="G7" s="64"/>
      <c r="K7" t="s">
        <v>196</v>
      </c>
      <c r="L7" s="32">
        <f>1/100</f>
        <v>0.01</v>
      </c>
      <c r="O7">
        <v>0.01</v>
      </c>
    </row>
    <row r="8" spans="2:15" x14ac:dyDescent="0.25">
      <c r="B8" s="61"/>
      <c r="C8" s="33"/>
      <c r="D8" s="63"/>
      <c r="F8" s="64"/>
      <c r="G8" s="64"/>
      <c r="K8" t="s">
        <v>188</v>
      </c>
      <c r="L8" s="72">
        <v>0.1</v>
      </c>
      <c r="O8">
        <v>0.1</v>
      </c>
    </row>
    <row r="9" spans="2:15" x14ac:dyDescent="0.25">
      <c r="B9" s="61"/>
      <c r="C9" s="33"/>
      <c r="D9" s="63"/>
      <c r="F9" s="64"/>
      <c r="G9" s="64"/>
      <c r="K9" t="s">
        <v>189</v>
      </c>
      <c r="L9" s="32">
        <f>L11*L3+L3^2/TAN(L12)</f>
        <v>0.22000000000000003</v>
      </c>
      <c r="O9">
        <v>0.1</v>
      </c>
    </row>
    <row r="10" spans="2:15" x14ac:dyDescent="0.25">
      <c r="B10" s="68"/>
      <c r="C10" s="73">
        <f>SUM(C3:C9)</f>
        <v>200</v>
      </c>
      <c r="D10" s="70" t="s">
        <v>0</v>
      </c>
      <c r="K10" t="s">
        <v>64</v>
      </c>
      <c r="L10" s="32">
        <f>L11+2*L3/SIN(L12)</f>
        <v>1.7649110640673518</v>
      </c>
      <c r="O10">
        <v>1.08</v>
      </c>
    </row>
    <row r="11" spans="2:15" x14ac:dyDescent="0.25">
      <c r="K11" t="s">
        <v>191</v>
      </c>
      <c r="L11">
        <v>0.5</v>
      </c>
    </row>
    <row r="12" spans="2:15" x14ac:dyDescent="0.25">
      <c r="B12" t="s">
        <v>118</v>
      </c>
      <c r="K12" t="s">
        <v>197</v>
      </c>
      <c r="L12">
        <f>ATAN(2/6)</f>
        <v>0.32175055439664219</v>
      </c>
    </row>
    <row r="13" spans="2:15" x14ac:dyDescent="0.25">
      <c r="B13" t="s">
        <v>149</v>
      </c>
      <c r="C13" s="64">
        <f>80*15*2+17*40*2+18*100+C10</f>
        <v>5760</v>
      </c>
      <c r="D13" t="s">
        <v>0</v>
      </c>
    </row>
    <row r="15" spans="2:15" x14ac:dyDescent="0.25">
      <c r="B15" t="s">
        <v>153</v>
      </c>
    </row>
    <row r="16" spans="2:15" x14ac:dyDescent="0.25">
      <c r="B16" t="s">
        <v>155</v>
      </c>
      <c r="C16">
        <v>12</v>
      </c>
      <c r="D16" t="s">
        <v>156</v>
      </c>
    </row>
    <row r="17" spans="2:4" x14ac:dyDescent="0.25">
      <c r="B17" t="s">
        <v>158</v>
      </c>
      <c r="C17">
        <f>6</f>
        <v>6</v>
      </c>
      <c r="D17" t="s">
        <v>159</v>
      </c>
    </row>
    <row r="18" spans="2:4" x14ac:dyDescent="0.25">
      <c r="B18" t="s">
        <v>155</v>
      </c>
      <c r="C18">
        <v>70</v>
      </c>
      <c r="D18" t="s">
        <v>156</v>
      </c>
    </row>
    <row r="19" spans="2:4" x14ac:dyDescent="0.25">
      <c r="B19" t="s">
        <v>158</v>
      </c>
      <c r="C19">
        <v>0.5</v>
      </c>
      <c r="D19" t="s">
        <v>162</v>
      </c>
    </row>
    <row r="20" spans="2:4" x14ac:dyDescent="0.25">
      <c r="B20" t="s">
        <v>155</v>
      </c>
      <c r="C20">
        <v>45</v>
      </c>
      <c r="D20" t="s">
        <v>156</v>
      </c>
    </row>
    <row r="21" spans="2:4" x14ac:dyDescent="0.25">
      <c r="B21" t="s">
        <v>158</v>
      </c>
      <c r="C21">
        <v>1</v>
      </c>
      <c r="D21" t="s">
        <v>165</v>
      </c>
    </row>
    <row r="22" spans="2:4" x14ac:dyDescent="0.25">
      <c r="B22" t="s">
        <v>155</v>
      </c>
      <c r="C22">
        <v>25</v>
      </c>
      <c r="D22" t="s">
        <v>156</v>
      </c>
    </row>
    <row r="23" spans="2:4" x14ac:dyDescent="0.25">
      <c r="B23" t="s">
        <v>158</v>
      </c>
      <c r="C23">
        <v>2</v>
      </c>
      <c r="D23" t="s">
        <v>166</v>
      </c>
    </row>
    <row r="24" spans="2:4" x14ac:dyDescent="0.25">
      <c r="B24" t="s">
        <v>155</v>
      </c>
      <c r="C24">
        <v>15</v>
      </c>
      <c r="D24" t="s">
        <v>156</v>
      </c>
    </row>
    <row r="25" spans="2:4" x14ac:dyDescent="0.25">
      <c r="B25" t="s">
        <v>158</v>
      </c>
      <c r="C25">
        <v>4</v>
      </c>
      <c r="D25" t="s">
        <v>167</v>
      </c>
    </row>
    <row r="26" spans="2:4" x14ac:dyDescent="0.25">
      <c r="B26" t="s">
        <v>155</v>
      </c>
      <c r="C26" s="71">
        <v>4</v>
      </c>
      <c r="D26" t="s">
        <v>156</v>
      </c>
    </row>
    <row r="27" spans="2:4" x14ac:dyDescent="0.25">
      <c r="B27" t="s">
        <v>158</v>
      </c>
      <c r="C27">
        <v>24</v>
      </c>
      <c r="D27" t="s">
        <v>168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27"/>
  <sheetViews>
    <sheetView workbookViewId="0">
      <selection activeCell="N3" sqref="N3"/>
    </sheetView>
  </sheetViews>
  <sheetFormatPr defaultColWidth="8.85546875" defaultRowHeight="15" x14ac:dyDescent="0.25"/>
  <cols>
    <col min="7" max="7" width="10" bestFit="1" customWidth="1"/>
  </cols>
  <sheetData>
    <row r="2" spans="2:15" x14ac:dyDescent="0.25">
      <c r="B2" s="58" t="s">
        <v>117</v>
      </c>
      <c r="C2" s="59"/>
      <c r="D2" s="60"/>
      <c r="E2" t="s">
        <v>118</v>
      </c>
      <c r="K2" s="1" t="s">
        <v>119</v>
      </c>
      <c r="N2" s="1" t="s">
        <v>182</v>
      </c>
    </row>
    <row r="3" spans="2:15" x14ac:dyDescent="0.25">
      <c r="B3" s="61" t="s">
        <v>190</v>
      </c>
      <c r="C3" s="62">
        <f>30*30+10*10</f>
        <v>1000</v>
      </c>
      <c r="D3" s="63"/>
      <c r="E3" t="s">
        <v>123</v>
      </c>
      <c r="F3" s="64">
        <f>'[1]SuDS-PPave'!I12+15*10+15*10+30*10</f>
        <v>1600</v>
      </c>
      <c r="G3" t="s">
        <v>0</v>
      </c>
      <c r="K3" t="s">
        <v>185</v>
      </c>
      <c r="L3" s="74">
        <f>L6*(EXP(-L5*C17)-1)</f>
        <v>1.0056524064902042</v>
      </c>
      <c r="M3" t="s">
        <v>125</v>
      </c>
      <c r="N3" s="65">
        <f>L3*C10</f>
        <v>1005.6524064902042</v>
      </c>
      <c r="O3" t="s">
        <v>53</v>
      </c>
    </row>
    <row r="4" spans="2:15" x14ac:dyDescent="0.25">
      <c r="B4" s="61"/>
      <c r="C4" s="33"/>
      <c r="D4" s="63"/>
      <c r="F4" s="64"/>
      <c r="K4" t="s">
        <v>64</v>
      </c>
      <c r="L4" s="32">
        <f>30*3.2*2+24*3.2*2</f>
        <v>345.6</v>
      </c>
      <c r="M4" t="s">
        <v>125</v>
      </c>
    </row>
    <row r="5" spans="2:15" x14ac:dyDescent="0.25">
      <c r="B5" s="61"/>
      <c r="C5" s="33"/>
      <c r="D5" s="63"/>
      <c r="K5" t="s">
        <v>191</v>
      </c>
      <c r="L5" s="74">
        <f>L4*'SuDS - PPave (2)'!O3/1000/'SuDS - PPave (2)'!M3/C10</f>
        <v>1.1520000000000001E-4</v>
      </c>
    </row>
    <row r="6" spans="2:15" x14ac:dyDescent="0.25">
      <c r="B6" s="61"/>
      <c r="C6" s="33"/>
      <c r="D6" s="63"/>
      <c r="K6" t="s">
        <v>192</v>
      </c>
      <c r="L6" s="32">
        <f>C10/L4-C16*C13/L4/('SuDS - PPave (2)'!O3)</f>
        <v>-1455.4398148148146</v>
      </c>
    </row>
    <row r="7" spans="2:15" x14ac:dyDescent="0.25">
      <c r="B7" s="61"/>
      <c r="C7" s="33"/>
      <c r="D7" s="63"/>
    </row>
    <row r="8" spans="2:15" x14ac:dyDescent="0.25">
      <c r="B8" s="61"/>
      <c r="C8" s="33"/>
      <c r="D8" s="63"/>
      <c r="L8" s="66"/>
    </row>
    <row r="9" spans="2:15" x14ac:dyDescent="0.25">
      <c r="B9" s="61"/>
      <c r="C9" s="33"/>
      <c r="D9" s="63"/>
      <c r="L9" s="74"/>
    </row>
    <row r="10" spans="2:15" x14ac:dyDescent="0.25">
      <c r="B10" s="68"/>
      <c r="C10" s="69">
        <f>SUM(C3:C9)</f>
        <v>1000</v>
      </c>
      <c r="D10" s="70" t="s">
        <v>0</v>
      </c>
    </row>
    <row r="12" spans="2:15" x14ac:dyDescent="0.25">
      <c r="B12" t="s">
        <v>118</v>
      </c>
    </row>
    <row r="13" spans="2:15" x14ac:dyDescent="0.25">
      <c r="B13" t="s">
        <v>149</v>
      </c>
      <c r="C13" s="64">
        <f>80*40+C10</f>
        <v>4200</v>
      </c>
      <c r="D13" t="s">
        <v>0</v>
      </c>
    </row>
    <row r="15" spans="2:15" x14ac:dyDescent="0.25">
      <c r="B15" t="s">
        <v>153</v>
      </c>
    </row>
    <row r="16" spans="2:15" x14ac:dyDescent="0.25">
      <c r="B16" t="s">
        <v>155</v>
      </c>
      <c r="C16">
        <v>12</v>
      </c>
      <c r="D16" t="s">
        <v>156</v>
      </c>
    </row>
    <row r="17" spans="2:4" x14ac:dyDescent="0.25">
      <c r="B17" t="s">
        <v>158</v>
      </c>
      <c r="C17">
        <f>6</f>
        <v>6</v>
      </c>
      <c r="D17" t="s">
        <v>159</v>
      </c>
    </row>
    <row r="18" spans="2:4" x14ac:dyDescent="0.25">
      <c r="B18" t="s">
        <v>155</v>
      </c>
      <c r="C18">
        <v>70</v>
      </c>
      <c r="D18" t="s">
        <v>156</v>
      </c>
    </row>
    <row r="19" spans="2:4" x14ac:dyDescent="0.25">
      <c r="B19" t="s">
        <v>158</v>
      </c>
      <c r="C19">
        <v>0.5</v>
      </c>
      <c r="D19" t="s">
        <v>162</v>
      </c>
    </row>
    <row r="20" spans="2:4" x14ac:dyDescent="0.25">
      <c r="B20" t="s">
        <v>155</v>
      </c>
      <c r="C20">
        <v>45</v>
      </c>
      <c r="D20" t="s">
        <v>156</v>
      </c>
    </row>
    <row r="21" spans="2:4" x14ac:dyDescent="0.25">
      <c r="B21" t="s">
        <v>158</v>
      </c>
      <c r="C21">
        <v>1</v>
      </c>
      <c r="D21" t="s">
        <v>165</v>
      </c>
    </row>
    <row r="22" spans="2:4" x14ac:dyDescent="0.25">
      <c r="B22" t="s">
        <v>155</v>
      </c>
      <c r="C22">
        <v>25</v>
      </c>
      <c r="D22" t="s">
        <v>156</v>
      </c>
    </row>
    <row r="23" spans="2:4" x14ac:dyDescent="0.25">
      <c r="B23" t="s">
        <v>158</v>
      </c>
      <c r="C23">
        <v>2</v>
      </c>
      <c r="D23" t="s">
        <v>166</v>
      </c>
    </row>
    <row r="24" spans="2:4" x14ac:dyDescent="0.25">
      <c r="B24" t="s">
        <v>155</v>
      </c>
      <c r="C24">
        <v>15</v>
      </c>
      <c r="D24" t="s">
        <v>156</v>
      </c>
    </row>
    <row r="25" spans="2:4" x14ac:dyDescent="0.25">
      <c r="B25" t="s">
        <v>158</v>
      </c>
      <c r="C25">
        <v>4</v>
      </c>
      <c r="D25" t="s">
        <v>167</v>
      </c>
    </row>
    <row r="26" spans="2:4" x14ac:dyDescent="0.25">
      <c r="B26" t="s">
        <v>155</v>
      </c>
      <c r="C26" s="71">
        <v>4</v>
      </c>
      <c r="D26" t="s">
        <v>156</v>
      </c>
    </row>
    <row r="27" spans="2:4" x14ac:dyDescent="0.25">
      <c r="B27" t="s">
        <v>158</v>
      </c>
      <c r="C27">
        <v>24</v>
      </c>
      <c r="D27" t="s">
        <v>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27"/>
  <sheetViews>
    <sheetView workbookViewId="0">
      <selection activeCell="N3" sqref="N3"/>
    </sheetView>
  </sheetViews>
  <sheetFormatPr defaultColWidth="8.85546875" defaultRowHeight="15" x14ac:dyDescent="0.25"/>
  <cols>
    <col min="7" max="7" width="10" bestFit="1" customWidth="1"/>
  </cols>
  <sheetData>
    <row r="2" spans="2:15" x14ac:dyDescent="0.25">
      <c r="B2" s="58" t="s">
        <v>117</v>
      </c>
      <c r="C2" s="59"/>
      <c r="D2" s="60"/>
      <c r="E2" t="s">
        <v>118</v>
      </c>
      <c r="K2" s="1" t="s">
        <v>119</v>
      </c>
      <c r="N2" s="1" t="s">
        <v>182</v>
      </c>
    </row>
    <row r="3" spans="2:15" x14ac:dyDescent="0.25">
      <c r="B3" s="61" t="s">
        <v>193</v>
      </c>
      <c r="C3" s="33">
        <f>PI()*10^2/4</f>
        <v>78.539816339744831</v>
      </c>
      <c r="D3" s="63"/>
      <c r="E3" t="s">
        <v>123</v>
      </c>
      <c r="F3" s="64" t="s">
        <v>184</v>
      </c>
      <c r="K3" t="s">
        <v>185</v>
      </c>
      <c r="L3" s="74">
        <f>L6*(EXP(-L5*C17)-1)</f>
        <v>0.23780970150605388</v>
      </c>
      <c r="M3" t="s">
        <v>125</v>
      </c>
      <c r="N3" s="65">
        <f>L3*C10</f>
        <v>37.355060560190026</v>
      </c>
      <c r="O3" t="s">
        <v>53</v>
      </c>
    </row>
    <row r="4" spans="2:15" x14ac:dyDescent="0.25">
      <c r="B4" s="61" t="s">
        <v>194</v>
      </c>
      <c r="C4" s="33">
        <f>PI()*10^2/4</f>
        <v>78.539816339744831</v>
      </c>
      <c r="D4" s="63"/>
      <c r="E4" t="s">
        <v>128</v>
      </c>
      <c r="F4" s="64" t="s">
        <v>184</v>
      </c>
      <c r="K4" t="s">
        <v>64</v>
      </c>
      <c r="L4" s="32">
        <f>2*(2*PI()*10)</f>
        <v>125.66370614359172</v>
      </c>
      <c r="M4" t="s">
        <v>125</v>
      </c>
    </row>
    <row r="5" spans="2:15" x14ac:dyDescent="0.25">
      <c r="B5" s="61"/>
      <c r="C5" s="33"/>
      <c r="D5" s="63"/>
      <c r="K5" t="s">
        <v>191</v>
      </c>
      <c r="L5" s="74">
        <f>L4*0.1/1000/0.3/C10</f>
        <v>2.6666666666666668E-4</v>
      </c>
    </row>
    <row r="6" spans="2:15" x14ac:dyDescent="0.25">
      <c r="B6" s="61"/>
      <c r="C6" s="33"/>
      <c r="D6" s="63"/>
      <c r="K6" t="s">
        <v>192</v>
      </c>
      <c r="L6" s="32">
        <f>C10/L4-C16*C13/L4/'SuDS - PPave (2)'!O3</f>
        <v>-148.75</v>
      </c>
    </row>
    <row r="7" spans="2:15" x14ac:dyDescent="0.25">
      <c r="B7" s="61"/>
      <c r="C7" s="33"/>
      <c r="D7" s="63"/>
    </row>
    <row r="8" spans="2:15" x14ac:dyDescent="0.25">
      <c r="B8" s="61"/>
      <c r="C8" s="33"/>
      <c r="D8" s="63"/>
      <c r="L8" s="66"/>
    </row>
    <row r="9" spans="2:15" x14ac:dyDescent="0.25">
      <c r="B9" s="61"/>
      <c r="C9" s="33"/>
      <c r="D9" s="63"/>
      <c r="L9" s="74"/>
    </row>
    <row r="10" spans="2:15" x14ac:dyDescent="0.25">
      <c r="B10" s="68"/>
      <c r="C10" s="73">
        <f>SUM(C3:C9)</f>
        <v>157.07963267948966</v>
      </c>
      <c r="D10" s="70" t="s">
        <v>0</v>
      </c>
    </row>
    <row r="12" spans="2:15" x14ac:dyDescent="0.25">
      <c r="B12" t="s">
        <v>118</v>
      </c>
    </row>
    <row r="13" spans="2:15" x14ac:dyDescent="0.25">
      <c r="B13" t="s">
        <v>149</v>
      </c>
      <c r="C13" s="64">
        <f>C10</f>
        <v>157.07963267948966</v>
      </c>
      <c r="D13" t="s">
        <v>0</v>
      </c>
    </row>
    <row r="15" spans="2:15" x14ac:dyDescent="0.25">
      <c r="B15" t="s">
        <v>153</v>
      </c>
    </row>
    <row r="16" spans="2:15" x14ac:dyDescent="0.25">
      <c r="B16" t="s">
        <v>155</v>
      </c>
      <c r="C16">
        <v>12</v>
      </c>
      <c r="D16" t="s">
        <v>156</v>
      </c>
    </row>
    <row r="17" spans="2:4" x14ac:dyDescent="0.25">
      <c r="B17" t="s">
        <v>158</v>
      </c>
      <c r="C17">
        <f>6</f>
        <v>6</v>
      </c>
      <c r="D17" t="s">
        <v>159</v>
      </c>
    </row>
    <row r="18" spans="2:4" x14ac:dyDescent="0.25">
      <c r="B18" t="s">
        <v>155</v>
      </c>
      <c r="C18">
        <v>70</v>
      </c>
      <c r="D18" t="s">
        <v>156</v>
      </c>
    </row>
    <row r="19" spans="2:4" x14ac:dyDescent="0.25">
      <c r="B19" t="s">
        <v>158</v>
      </c>
      <c r="C19">
        <v>0.5</v>
      </c>
      <c r="D19" t="s">
        <v>162</v>
      </c>
    </row>
    <row r="20" spans="2:4" x14ac:dyDescent="0.25">
      <c r="B20" t="s">
        <v>155</v>
      </c>
      <c r="C20">
        <v>45</v>
      </c>
      <c r="D20" t="s">
        <v>156</v>
      </c>
    </row>
    <row r="21" spans="2:4" x14ac:dyDescent="0.25">
      <c r="B21" t="s">
        <v>158</v>
      </c>
      <c r="C21">
        <v>1</v>
      </c>
      <c r="D21" t="s">
        <v>165</v>
      </c>
    </row>
    <row r="22" spans="2:4" x14ac:dyDescent="0.25">
      <c r="B22" t="s">
        <v>155</v>
      </c>
      <c r="C22">
        <v>25</v>
      </c>
      <c r="D22" t="s">
        <v>156</v>
      </c>
    </row>
    <row r="23" spans="2:4" x14ac:dyDescent="0.25">
      <c r="B23" t="s">
        <v>158</v>
      </c>
      <c r="C23">
        <v>2</v>
      </c>
      <c r="D23" t="s">
        <v>166</v>
      </c>
    </row>
    <row r="24" spans="2:4" x14ac:dyDescent="0.25">
      <c r="B24" t="s">
        <v>155</v>
      </c>
      <c r="C24">
        <v>15</v>
      </c>
      <c r="D24" t="s">
        <v>156</v>
      </c>
    </row>
    <row r="25" spans="2:4" x14ac:dyDescent="0.25">
      <c r="B25" t="s">
        <v>158</v>
      </c>
      <c r="C25">
        <v>4</v>
      </c>
      <c r="D25" t="s">
        <v>167</v>
      </c>
    </row>
    <row r="26" spans="2:4" x14ac:dyDescent="0.25">
      <c r="B26" t="s">
        <v>155</v>
      </c>
      <c r="C26" s="71">
        <v>4</v>
      </c>
      <c r="D26" t="s">
        <v>156</v>
      </c>
    </row>
    <row r="27" spans="2:4" x14ac:dyDescent="0.25">
      <c r="B27" t="s">
        <v>158</v>
      </c>
      <c r="C27">
        <v>24</v>
      </c>
      <c r="D27"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Hydrology</vt:lpstr>
      <vt:lpstr>Conventional Sewer</vt:lpstr>
      <vt:lpstr>SuDS - PPave (1)</vt:lpstr>
      <vt:lpstr>SuDS - PPave (2)</vt:lpstr>
      <vt:lpstr>SuDS - Swale</vt:lpstr>
      <vt:lpstr>SuDS - IB</vt:lpstr>
      <vt:lpstr>SuDS - Ponds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ucesgm1</cp:lastModifiedBy>
  <dcterms:created xsi:type="dcterms:W3CDTF">2020-01-19T15:14:41Z</dcterms:created>
  <dcterms:modified xsi:type="dcterms:W3CDTF">2020-05-27T09:07:33Z</dcterms:modified>
</cp:coreProperties>
</file>