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G:\.shortcut-targets-by-id\1CFx77FGsmfz9OklEh2EGPpOn10JXNq29\ENV-510_LCAinEnergySystems\2021A\TP\TP3\"/>
    </mc:Choice>
  </mc:AlternateContent>
  <xr:revisionPtr revIDLastSave="0" documentId="13_ncr:1_{B6526BA7-EB07-4464-8A3D-8BBB8A7AE14A}" xr6:coauthVersionLast="47" xr6:coauthVersionMax="47" xr10:uidLastSave="{00000000-0000-0000-0000-000000000000}"/>
  <bookViews>
    <workbookView xWindow="1950" yWindow="1950" windowWidth="18900" windowHeight="11055" activeTab="4" xr2:uid="{00000000-000D-0000-FFFF-FFFF00000000}"/>
  </bookViews>
  <sheets>
    <sheet name="Results from TP1 and data" sheetId="1" r:id="rId1"/>
    <sheet name="Q1-EOLR" sheetId="3" r:id="rId2"/>
    <sheet name="Q1-RC" sheetId="2" r:id="rId3"/>
    <sheet name="Q2-EOLR" sheetId="7" r:id="rId4"/>
    <sheet name="Q2-RC" sheetId="8" r:id="rId5"/>
    <sheet name="Overview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" i="8" l="1"/>
  <c r="G16" i="8" s="1"/>
  <c r="G4" i="8"/>
  <c r="G15" i="7"/>
  <c r="C6" i="6"/>
  <c r="C7" i="6"/>
  <c r="C8" i="6"/>
  <c r="C5" i="6"/>
  <c r="N14" i="3"/>
  <c r="D25" i="1"/>
  <c r="D24" i="1"/>
  <c r="D23" i="1"/>
  <c r="D22" i="1"/>
  <c r="I10" i="1" l="1"/>
  <c r="I16" i="1" l="1"/>
  <c r="I17" i="1"/>
  <c r="I18" i="1"/>
  <c r="I15" i="1"/>
  <c r="I14" i="1"/>
  <c r="I13" i="1"/>
  <c r="I12" i="1"/>
  <c r="I11" i="1"/>
  <c r="I9" i="1"/>
  <c r="I8" i="1"/>
  <c r="L5" i="8"/>
  <c r="M4" i="8" s="1"/>
  <c r="L16" i="8"/>
  <c r="L15" i="8"/>
  <c r="L14" i="8"/>
  <c r="L13" i="8"/>
  <c r="M13" i="8" s="1"/>
  <c r="L12" i="8"/>
  <c r="L11" i="8"/>
  <c r="L10" i="8"/>
  <c r="L9" i="8"/>
  <c r="M9" i="8" s="1"/>
  <c r="L8" i="8"/>
  <c r="L7" i="8"/>
  <c r="L6" i="8"/>
  <c r="L4" i="8"/>
  <c r="J18" i="7"/>
  <c r="I18" i="7"/>
  <c r="I17" i="7"/>
  <c r="G17" i="7"/>
  <c r="G18" i="7" s="1"/>
  <c r="G16" i="7"/>
  <c r="L16" i="7" s="1"/>
  <c r="L15" i="7"/>
  <c r="L14" i="7"/>
  <c r="L13" i="7"/>
  <c r="L12" i="7"/>
  <c r="M12" i="7" s="1"/>
  <c r="D18" i="6" s="1"/>
  <c r="L11" i="7"/>
  <c r="L10" i="7"/>
  <c r="M8" i="7" s="1"/>
  <c r="D17" i="6" s="1"/>
  <c r="L9" i="7"/>
  <c r="L8" i="7"/>
  <c r="L7" i="7"/>
  <c r="L6" i="7"/>
  <c r="L5" i="7"/>
  <c r="L4" i="7"/>
  <c r="L6" i="3"/>
  <c r="L9" i="3"/>
  <c r="L11" i="3"/>
  <c r="L12" i="3"/>
  <c r="L13" i="3"/>
  <c r="L6" i="2"/>
  <c r="M4" i="2" s="1"/>
  <c r="L15" i="2"/>
  <c r="L14" i="2"/>
  <c r="L13" i="2"/>
  <c r="L12" i="2"/>
  <c r="L11" i="2"/>
  <c r="L10" i="2"/>
  <c r="L9" i="2"/>
  <c r="L5" i="2"/>
  <c r="L5" i="3"/>
  <c r="L4" i="2"/>
  <c r="L7" i="2"/>
  <c r="L7" i="3"/>
  <c r="G15" i="2"/>
  <c r="L8" i="2"/>
  <c r="L8" i="3"/>
  <c r="L10" i="3"/>
  <c r="L14" i="3"/>
  <c r="L4" i="3"/>
  <c r="L17" i="7" l="1"/>
  <c r="M4" i="3"/>
  <c r="M15" i="8"/>
  <c r="E19" i="6" s="1"/>
  <c r="E17" i="6"/>
  <c r="L17" i="8"/>
  <c r="N13" i="8" s="1"/>
  <c r="E18" i="6"/>
  <c r="L18" i="7"/>
  <c r="M14" i="7" s="1"/>
  <c r="D19" i="6" s="1"/>
  <c r="M4" i="7"/>
  <c r="D16" i="6" s="1"/>
  <c r="L16" i="2"/>
  <c r="N15" i="8" l="1"/>
  <c r="N9" i="8"/>
  <c r="N4" i="8"/>
  <c r="E16" i="6"/>
  <c r="E20" i="6" s="1"/>
  <c r="L19" i="7"/>
  <c r="N4" i="7" s="1"/>
  <c r="D20" i="6"/>
  <c r="M12" i="2"/>
  <c r="E7" i="6" s="1"/>
  <c r="M8" i="2"/>
  <c r="E6" i="6" s="1"/>
  <c r="J18" i="3"/>
  <c r="I18" i="3"/>
  <c r="G16" i="3"/>
  <c r="L16" i="3" s="1"/>
  <c r="G15" i="3"/>
  <c r="L15" i="3" s="1"/>
  <c r="I17" i="3"/>
  <c r="D19" i="1"/>
  <c r="I19" i="1" s="1"/>
  <c r="I20" i="1" s="1"/>
  <c r="C17" i="6" l="1"/>
  <c r="C9" i="6"/>
  <c r="C16" i="6"/>
  <c r="C19" i="6"/>
  <c r="C18" i="6"/>
  <c r="N17" i="8"/>
  <c r="N8" i="7"/>
  <c r="N19" i="7" s="1"/>
  <c r="N12" i="7"/>
  <c r="N14" i="7"/>
  <c r="G17" i="3"/>
  <c r="G18" i="3" s="1"/>
  <c r="L18" i="3" s="1"/>
  <c r="M12" i="3"/>
  <c r="D7" i="6" s="1"/>
  <c r="E5" i="6"/>
  <c r="D5" i="6"/>
  <c r="M8" i="3"/>
  <c r="D6" i="6" s="1"/>
  <c r="L17" i="3" l="1"/>
  <c r="L19" i="3"/>
  <c r="N4" i="3" s="1"/>
  <c r="C20" i="6"/>
  <c r="F19" i="6" s="1"/>
  <c r="M14" i="3"/>
  <c r="D8" i="6" s="1"/>
  <c r="D9" i="6" s="1"/>
  <c r="N12" i="3"/>
  <c r="N12" i="2"/>
  <c r="N8" i="2"/>
  <c r="M14" i="2"/>
  <c r="N4" i="2"/>
  <c r="N8" i="3" l="1"/>
  <c r="F17" i="6"/>
  <c r="F20" i="6"/>
  <c r="H20" i="6"/>
  <c r="H17" i="6"/>
  <c r="G18" i="6"/>
  <c r="G19" i="6"/>
  <c r="H18" i="6"/>
  <c r="H19" i="6"/>
  <c r="G16" i="6"/>
  <c r="G20" i="6"/>
  <c r="H16" i="6"/>
  <c r="G17" i="6"/>
  <c r="F16" i="6"/>
  <c r="F18" i="6"/>
  <c r="N14" i="2"/>
  <c r="N16" i="2" s="1"/>
  <c r="E8" i="6"/>
  <c r="N19" i="3"/>
  <c r="E9" i="6" l="1"/>
  <c r="H8" i="6"/>
  <c r="F6" i="6" l="1"/>
  <c r="G5" i="6"/>
  <c r="G9" i="6" s="1"/>
  <c r="G8" i="6"/>
  <c r="H6" i="6"/>
  <c r="H7" i="6"/>
  <c r="F5" i="6"/>
  <c r="G6" i="6"/>
  <c r="G7" i="6"/>
  <c r="H5" i="6"/>
  <c r="H9" i="6" s="1"/>
  <c r="F7" i="6"/>
  <c r="F8" i="6"/>
  <c r="F9" i="6" l="1"/>
</calcChain>
</file>

<file path=xl/sharedStrings.xml><?xml version="1.0" encoding="utf-8"?>
<sst xmlns="http://schemas.openxmlformats.org/spreadsheetml/2006/main" count="356" uniqueCount="69">
  <si>
    <t>Impact method: IPCC 2013 (GWP 100)</t>
  </si>
  <si>
    <t xml:space="preserve">CH4 Impact factor </t>
  </si>
  <si>
    <t>Stage</t>
  </si>
  <si>
    <t>Flow</t>
  </si>
  <si>
    <t>Quantity</t>
  </si>
  <si>
    <t>unit</t>
  </si>
  <si>
    <t>Subtotal</t>
  </si>
  <si>
    <t>%</t>
  </si>
  <si>
    <t>CO2 / u</t>
  </si>
  <si>
    <t>CH4 / u</t>
  </si>
  <si>
    <t>kg COeq</t>
  </si>
  <si>
    <t>Can production</t>
  </si>
  <si>
    <t>aluminium, primary, ingot</t>
  </si>
  <si>
    <t>g</t>
  </si>
  <si>
    <t>/kg</t>
  </si>
  <si>
    <t>natural gas, high pressure</t>
  </si>
  <si>
    <t>Nm</t>
  </si>
  <si>
    <t>/Nm</t>
  </si>
  <si>
    <t>electricity, high voltage</t>
  </si>
  <si>
    <t>kWh</t>
  </si>
  <si>
    <t>/kWh</t>
  </si>
  <si>
    <t>Carbon dioxide, fossil</t>
  </si>
  <si>
    <t>-</t>
  </si>
  <si>
    <t>Filling of the can</t>
  </si>
  <si>
    <t>Tap water</t>
  </si>
  <si>
    <t>carbon dioxide, liquid</t>
  </si>
  <si>
    <t>transport, freight, lorry, unspecified</t>
  </si>
  <si>
    <t>tkm</t>
  </si>
  <si>
    <t>/tkm</t>
  </si>
  <si>
    <t>Cooling of the can</t>
  </si>
  <si>
    <t>Refrigerator</t>
  </si>
  <si>
    <t>frigo</t>
  </si>
  <si>
    <t>/u</t>
  </si>
  <si>
    <t>electricity, low voltage</t>
  </si>
  <si>
    <t>End of life</t>
  </si>
  <si>
    <t>municipal solid waste</t>
  </si>
  <si>
    <t>Total</t>
  </si>
  <si>
    <t>aluminium scrap, post-consumer, prepared for melting</t>
  </si>
  <si>
    <t>Recycling</t>
  </si>
  <si>
    <t>Primary</t>
  </si>
  <si>
    <t>Realtive impacts</t>
  </si>
  <si>
    <t>aluminium recycling</t>
  </si>
  <si>
    <t>Yields</t>
  </si>
  <si>
    <t>Sorting</t>
  </si>
  <si>
    <t>EOLR</t>
  </si>
  <si>
    <t>RC</t>
  </si>
  <si>
    <t>Q1</t>
  </si>
  <si>
    <t>Q2</t>
  </si>
  <si>
    <t>Relative impacts</t>
  </si>
  <si>
    <t>GWP - CH4</t>
  </si>
  <si>
    <t>Data</t>
  </si>
  <si>
    <t>CH4</t>
  </si>
  <si>
    <t>Lab1</t>
  </si>
  <si>
    <t>Impacts</t>
  </si>
  <si>
    <t>kg CO2eq</t>
  </si>
  <si>
    <t>kg CH4/kg</t>
  </si>
  <si>
    <t>kg CO2/kg</t>
  </si>
  <si>
    <t>Primary aluminium</t>
  </si>
  <si>
    <t>kg/kg aluminium</t>
  </si>
  <si>
    <t>Aluminium recycling</t>
  </si>
  <si>
    <t>9.58 E-01</t>
  </si>
  <si>
    <t>2.21 E-02</t>
  </si>
  <si>
    <t>Landfill</t>
  </si>
  <si>
    <t>2.32 E-02</t>
  </si>
  <si>
    <t>9.8 E-04</t>
  </si>
  <si>
    <t>kg/kg waste</t>
  </si>
  <si>
    <t>Collecting, sorting and cleaning of al scrap</t>
  </si>
  <si>
    <t>aluminium, wrought alloy (from recycling)</t>
  </si>
  <si>
    <t>Recycling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</si>
</sst>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 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D9D9D9"/>
        <bgColor rgb="FFD9D9D9"/>
      </patternFill>
    </fill>
    <fill>
      <patternFill patternType="solid">
        <fgColor rgb="FFBFBFBF"/>
        <bgColor rgb="FFBFBFBF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3">
    <xf numFmtId="0" fontId="0" fillId="0" borderId="0" xfId="0"/>
    <xf numFmtId="0" fontId="2" fillId="0" borderId="3" xfId="0" applyFont="1" applyBorder="1"/>
    <xf numFmtId="0" fontId="2" fillId="0" borderId="0" xfId="0" applyFont="1"/>
    <xf numFmtId="0" fontId="2" fillId="2" borderId="3" xfId="0" applyFont="1" applyFill="1" applyBorder="1"/>
    <xf numFmtId="0" fontId="5" fillId="3" borderId="3" xfId="0" applyFont="1" applyFill="1" applyBorder="1"/>
    <xf numFmtId="0" fontId="6" fillId="0" borderId="3" xfId="0" applyFont="1" applyBorder="1" applyAlignment="1">
      <alignment horizontal="left" vertical="center" wrapText="1" readingOrder="1"/>
    </xf>
    <xf numFmtId="0" fontId="6" fillId="0" borderId="3" xfId="0" applyFont="1" applyBorder="1" applyAlignment="1">
      <alignment horizontal="center" vertical="center" wrapText="1" readingOrder="1"/>
    </xf>
    <xf numFmtId="0" fontId="2" fillId="2" borderId="3" xfId="0" quotePrefix="1" applyFont="1" applyFill="1" applyBorder="1"/>
    <xf numFmtId="11" fontId="2" fillId="2" borderId="3" xfId="0" applyNumberFormat="1" applyFont="1" applyFill="1" applyBorder="1"/>
    <xf numFmtId="0" fontId="2" fillId="0" borderId="3" xfId="0" applyFont="1" applyBorder="1" applyAlignment="1">
      <alignment wrapText="1"/>
    </xf>
    <xf numFmtId="11" fontId="2" fillId="0" borderId="3" xfId="0" applyNumberFormat="1" applyFont="1" applyBorder="1"/>
    <xf numFmtId="0" fontId="2" fillId="0" borderId="3" xfId="0" applyFont="1" applyBorder="1" applyAlignment="1">
      <alignment horizontal="center"/>
    </xf>
    <xf numFmtId="0" fontId="2" fillId="2" borderId="1" xfId="0" applyFont="1" applyFill="1" applyBorder="1"/>
    <xf numFmtId="0" fontId="2" fillId="2" borderId="2" xfId="0" quotePrefix="1" applyFont="1" applyFill="1" applyBorder="1"/>
    <xf numFmtId="0" fontId="2" fillId="2" borderId="5" xfId="0" applyFont="1" applyFill="1" applyBorder="1"/>
    <xf numFmtId="0" fontId="0" fillId="0" borderId="7" xfId="0" applyBorder="1"/>
    <xf numFmtId="11" fontId="0" fillId="0" borderId="7" xfId="0" applyNumberFormat="1" applyBorder="1"/>
    <xf numFmtId="9" fontId="0" fillId="0" borderId="7" xfId="1" applyFont="1" applyBorder="1"/>
    <xf numFmtId="0" fontId="2" fillId="2" borderId="4" xfId="0" applyFont="1" applyFill="1" applyBorder="1"/>
    <xf numFmtId="0" fontId="2" fillId="2" borderId="7" xfId="0" applyFont="1" applyFill="1" applyBorder="1"/>
    <xf numFmtId="11" fontId="2" fillId="2" borderId="3" xfId="0" quotePrefix="1" applyNumberFormat="1" applyFont="1" applyFill="1" applyBorder="1"/>
    <xf numFmtId="11" fontId="0" fillId="0" borderId="0" xfId="0" applyNumberFormat="1"/>
    <xf numFmtId="11" fontId="2" fillId="0" borderId="7" xfId="0" applyNumberFormat="1" applyFont="1" applyBorder="1" applyAlignment="1">
      <alignment vertical="center"/>
    </xf>
    <xf numFmtId="11" fontId="2" fillId="0" borderId="3" xfId="0" applyNumberFormat="1" applyFont="1" applyBorder="1" applyAlignment="1">
      <alignment horizontal="center"/>
    </xf>
    <xf numFmtId="0" fontId="2" fillId="0" borderId="2" xfId="0" quotePrefix="1" applyFont="1" applyFill="1" applyBorder="1"/>
    <xf numFmtId="0" fontId="2" fillId="0" borderId="0" xfId="0" applyFont="1" applyBorder="1" applyAlignment="1">
      <alignment vertical="center"/>
    </xf>
    <xf numFmtId="11" fontId="2" fillId="0" borderId="0" xfId="0" applyNumberFormat="1" applyFont="1" applyBorder="1" applyAlignment="1">
      <alignment vertical="center"/>
    </xf>
    <xf numFmtId="0" fontId="8" fillId="2" borderId="0" xfId="0" applyFont="1" applyFill="1" applyBorder="1" applyAlignment="1">
      <alignment horizontal="center"/>
    </xf>
    <xf numFmtId="0" fontId="3" fillId="0" borderId="0" xfId="0" applyFont="1" applyBorder="1"/>
    <xf numFmtId="164" fontId="8" fillId="0" borderId="0" xfId="0" applyNumberFormat="1" applyFont="1" applyFill="1" applyBorder="1"/>
    <xf numFmtId="0" fontId="2" fillId="0" borderId="11" xfId="0" applyFont="1" applyBorder="1" applyAlignment="1">
      <alignment vertical="center"/>
    </xf>
    <xf numFmtId="11" fontId="2" fillId="0" borderId="12" xfId="0" applyNumberFormat="1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11" fontId="2" fillId="0" borderId="14" xfId="0" applyNumberFormat="1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11" fontId="2" fillId="0" borderId="16" xfId="0" applyNumberFormat="1" applyFont="1" applyBorder="1" applyAlignment="1">
      <alignment vertical="center"/>
    </xf>
    <xf numFmtId="11" fontId="2" fillId="2" borderId="24" xfId="0" applyNumberFormat="1" applyFont="1" applyFill="1" applyBorder="1"/>
    <xf numFmtId="0" fontId="2" fillId="0" borderId="28" xfId="0" applyFont="1" applyBorder="1" applyAlignment="1">
      <alignment wrapText="1"/>
    </xf>
    <xf numFmtId="0" fontId="2" fillId="0" borderId="28" xfId="0" applyFont="1" applyBorder="1" applyAlignment="1">
      <alignment horizontal="center"/>
    </xf>
    <xf numFmtId="0" fontId="2" fillId="2" borderId="28" xfId="0" applyFont="1" applyFill="1" applyBorder="1"/>
    <xf numFmtId="0" fontId="2" fillId="2" borderId="28" xfId="0" quotePrefix="1" applyFont="1" applyFill="1" applyBorder="1"/>
    <xf numFmtId="11" fontId="2" fillId="2" borderId="29" xfId="0" applyNumberFormat="1" applyFont="1" applyFill="1" applyBorder="1"/>
    <xf numFmtId="164" fontId="8" fillId="4" borderId="10" xfId="0" applyNumberFormat="1" applyFont="1" applyFill="1" applyBorder="1"/>
    <xf numFmtId="0" fontId="0" fillId="0" borderId="30" xfId="0" applyBorder="1"/>
    <xf numFmtId="0" fontId="0" fillId="0" borderId="13" xfId="0" applyBorder="1"/>
    <xf numFmtId="11" fontId="0" fillId="0" borderId="14" xfId="0" applyNumberFormat="1" applyBorder="1"/>
    <xf numFmtId="0" fontId="0" fillId="0" borderId="15" xfId="0" applyBorder="1"/>
    <xf numFmtId="11" fontId="0" fillId="0" borderId="31" xfId="0" applyNumberFormat="1" applyBorder="1"/>
    <xf numFmtId="11" fontId="0" fillId="0" borderId="16" xfId="0" applyNumberFormat="1" applyBorder="1"/>
    <xf numFmtId="0" fontId="11" fillId="0" borderId="11" xfId="0" applyFont="1" applyBorder="1" applyAlignment="1"/>
    <xf numFmtId="0" fontId="10" fillId="0" borderId="30" xfId="0" applyFont="1" applyBorder="1"/>
    <xf numFmtId="0" fontId="10" fillId="0" borderId="12" xfId="0" applyFont="1" applyBorder="1"/>
    <xf numFmtId="0" fontId="8" fillId="2" borderId="3" xfId="0" applyFont="1" applyFill="1" applyBorder="1"/>
    <xf numFmtId="0" fontId="8" fillId="2" borderId="24" xfId="0" applyFont="1" applyFill="1" applyBorder="1"/>
    <xf numFmtId="0" fontId="2" fillId="0" borderId="27" xfId="0" applyFont="1" applyBorder="1" applyAlignment="1">
      <alignment horizontal="left"/>
    </xf>
    <xf numFmtId="0" fontId="2" fillId="0" borderId="32" xfId="0" applyFont="1" applyBorder="1"/>
    <xf numFmtId="9" fontId="0" fillId="0" borderId="14" xfId="0" applyNumberFormat="1" applyBorder="1"/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Border="1"/>
    <xf numFmtId="164" fontId="8" fillId="4" borderId="28" xfId="0" applyNumberFormat="1" applyFont="1" applyFill="1" applyBorder="1"/>
    <xf numFmtId="164" fontId="9" fillId="3" borderId="28" xfId="0" applyNumberFormat="1" applyFont="1" applyFill="1" applyBorder="1"/>
    <xf numFmtId="0" fontId="2" fillId="2" borderId="17" xfId="0" applyFont="1" applyFill="1" applyBorder="1"/>
    <xf numFmtId="11" fontId="2" fillId="2" borderId="5" xfId="0" applyNumberFormat="1" applyFont="1" applyFill="1" applyBorder="1"/>
    <xf numFmtId="0" fontId="6" fillId="0" borderId="7" xfId="0" applyFont="1" applyBorder="1" applyAlignment="1">
      <alignment horizontal="left" vertical="center" wrapText="1" readingOrder="1"/>
    </xf>
    <xf numFmtId="0" fontId="6" fillId="0" borderId="7" xfId="0" applyFont="1" applyBorder="1" applyAlignment="1">
      <alignment horizontal="center" vertical="center" wrapText="1" readingOrder="1"/>
    </xf>
    <xf numFmtId="0" fontId="2" fillId="2" borderId="7" xfId="0" quotePrefix="1" applyFont="1" applyFill="1" applyBorder="1"/>
    <xf numFmtId="11" fontId="2" fillId="2" borderId="7" xfId="0" applyNumberFormat="1" applyFont="1" applyFill="1" applyBorder="1"/>
    <xf numFmtId="0" fontId="2" fillId="0" borderId="7" xfId="0" applyFont="1" applyBorder="1"/>
    <xf numFmtId="11" fontId="2" fillId="2" borderId="7" xfId="0" quotePrefix="1" applyNumberFormat="1" applyFont="1" applyFill="1" applyBorder="1"/>
    <xf numFmtId="11" fontId="2" fillId="0" borderId="7" xfId="0" applyNumberFormat="1" applyFont="1" applyBorder="1"/>
    <xf numFmtId="0" fontId="2" fillId="0" borderId="7" xfId="0" applyFont="1" applyBorder="1" applyAlignment="1">
      <alignment wrapText="1"/>
    </xf>
    <xf numFmtId="0" fontId="2" fillId="0" borderId="7" xfId="0" applyFont="1" applyBorder="1" applyAlignment="1">
      <alignment horizontal="center"/>
    </xf>
    <xf numFmtId="9" fontId="10" fillId="3" borderId="16" xfId="1" applyFont="1" applyFill="1" applyBorder="1"/>
    <xf numFmtId="9" fontId="10" fillId="3" borderId="29" xfId="1" applyFont="1" applyFill="1" applyBorder="1"/>
    <xf numFmtId="0" fontId="4" fillId="3" borderId="48" xfId="0" applyFont="1" applyFill="1" applyBorder="1"/>
    <xf numFmtId="0" fontId="4" fillId="3" borderId="49" xfId="0" applyFont="1" applyFill="1" applyBorder="1"/>
    <xf numFmtId="0" fontId="5" fillId="3" borderId="24" xfId="0" applyFont="1" applyFill="1" applyBorder="1"/>
    <xf numFmtId="164" fontId="9" fillId="3" borderId="29" xfId="0" applyNumberFormat="1" applyFont="1" applyFill="1" applyBorder="1"/>
    <xf numFmtId="0" fontId="0" fillId="0" borderId="11" xfId="0" applyBorder="1"/>
    <xf numFmtId="0" fontId="0" fillId="0" borderId="14" xfId="0" applyBorder="1"/>
    <xf numFmtId="9" fontId="0" fillId="0" borderId="14" xfId="1" applyFont="1" applyBorder="1"/>
    <xf numFmtId="0" fontId="2" fillId="0" borderId="15" xfId="0" applyFont="1" applyFill="1" applyBorder="1" applyAlignment="1">
      <alignment vertical="center"/>
    </xf>
    <xf numFmtId="9" fontId="0" fillId="0" borderId="31" xfId="1" applyFont="1" applyBorder="1"/>
    <xf numFmtId="9" fontId="0" fillId="0" borderId="16" xfId="1" applyFont="1" applyBorder="1"/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8" fillId="2" borderId="17" xfId="0" applyFont="1" applyFill="1" applyBorder="1" applyAlignment="1">
      <alignment horizontal="center"/>
    </xf>
    <xf numFmtId="0" fontId="3" fillId="0" borderId="9" xfId="0" applyFont="1" applyBorder="1"/>
    <xf numFmtId="0" fontId="8" fillId="0" borderId="25" xfId="0" applyFont="1" applyBorder="1" applyAlignment="1">
      <alignment horizontal="center" vertical="center" textRotation="90" wrapText="1"/>
    </xf>
    <xf numFmtId="0" fontId="12" fillId="0" borderId="23" xfId="0" applyFont="1" applyBorder="1"/>
    <xf numFmtId="0" fontId="12" fillId="0" borderId="27" xfId="0" applyFont="1" applyBorder="1" applyAlignment="1">
      <alignment wrapText="1"/>
    </xf>
    <xf numFmtId="0" fontId="12" fillId="0" borderId="26" xfId="0" applyFont="1" applyBorder="1" applyAlignment="1">
      <alignment wrapText="1"/>
    </xf>
    <xf numFmtId="0" fontId="12" fillId="0" borderId="23" xfId="0" applyFont="1" applyBorder="1" applyAlignment="1">
      <alignment wrapText="1"/>
    </xf>
    <xf numFmtId="0" fontId="8" fillId="2" borderId="20" xfId="0" applyFont="1" applyFill="1" applyBorder="1" applyAlignment="1">
      <alignment horizontal="center"/>
    </xf>
    <xf numFmtId="0" fontId="12" fillId="0" borderId="21" xfId="0" applyFont="1" applyBorder="1"/>
    <xf numFmtId="0" fontId="12" fillId="0" borderId="22" xfId="0" applyFont="1" applyBorder="1"/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2" fillId="0" borderId="5" xfId="0" applyFont="1" applyBorder="1"/>
    <xf numFmtId="0" fontId="8" fillId="2" borderId="37" xfId="0" applyFont="1" applyFill="1" applyBorder="1" applyAlignment="1">
      <alignment horizontal="right"/>
    </xf>
    <xf numFmtId="0" fontId="8" fillId="2" borderId="38" xfId="0" applyFont="1" applyFill="1" applyBorder="1" applyAlignment="1">
      <alignment horizontal="right"/>
    </xf>
    <xf numFmtId="0" fontId="8" fillId="2" borderId="39" xfId="0" applyFont="1" applyFill="1" applyBorder="1" applyAlignment="1">
      <alignment horizontal="right"/>
    </xf>
    <xf numFmtId="0" fontId="2" fillId="0" borderId="25" xfId="0" applyFont="1" applyBorder="1" applyAlignment="1">
      <alignment horizontal="center" vertical="center" textRotation="90" wrapText="1"/>
    </xf>
    <xf numFmtId="0" fontId="3" fillId="0" borderId="23" xfId="0" applyFont="1" applyBorder="1"/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5" xfId="0" applyFont="1" applyBorder="1"/>
    <xf numFmtId="0" fontId="2" fillId="0" borderId="33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1" fontId="2" fillId="3" borderId="4" xfId="0" applyNumberFormat="1" applyFont="1" applyFill="1" applyBorder="1"/>
    <xf numFmtId="10" fontId="2" fillId="3" borderId="4" xfId="0" applyNumberFormat="1" applyFont="1" applyFill="1" applyBorder="1"/>
    <xf numFmtId="11" fontId="2" fillId="3" borderId="4" xfId="0" applyNumberFormat="1" applyFont="1" applyFill="1" applyBorder="1" applyAlignment="1">
      <alignment horizontal="center"/>
    </xf>
    <xf numFmtId="11" fontId="2" fillId="3" borderId="6" xfId="0" applyNumberFormat="1" applyFont="1" applyFill="1" applyBorder="1" applyAlignment="1">
      <alignment horizontal="center"/>
    </xf>
    <xf numFmtId="11" fontId="2" fillId="3" borderId="5" xfId="0" applyNumberFormat="1" applyFont="1" applyFill="1" applyBorder="1" applyAlignment="1">
      <alignment horizontal="center"/>
    </xf>
    <xf numFmtId="10" fontId="2" fillId="3" borderId="4" xfId="0" applyNumberFormat="1" applyFont="1" applyFill="1" applyBorder="1" applyAlignment="1">
      <alignment horizontal="center"/>
    </xf>
    <xf numFmtId="10" fontId="2" fillId="3" borderId="6" xfId="0" applyNumberFormat="1" applyFont="1" applyFill="1" applyBorder="1" applyAlignment="1">
      <alignment horizontal="center"/>
    </xf>
    <xf numFmtId="10" fontId="2" fillId="3" borderId="5" xfId="0" applyNumberFormat="1" applyFont="1" applyFill="1" applyBorder="1" applyAlignment="1">
      <alignment horizontal="center"/>
    </xf>
    <xf numFmtId="0" fontId="3" fillId="0" borderId="26" xfId="0" applyFont="1" applyBorder="1" applyAlignment="1">
      <alignment wrapText="1"/>
    </xf>
    <xf numFmtId="0" fontId="3" fillId="0" borderId="23" xfId="0" applyFont="1" applyBorder="1" applyAlignment="1">
      <alignment wrapText="1"/>
    </xf>
    <xf numFmtId="11" fontId="2" fillId="3" borderId="6" xfId="0" applyNumberFormat="1" applyFont="1" applyFill="1" applyBorder="1"/>
    <xf numFmtId="0" fontId="3" fillId="0" borderId="6" xfId="0" applyFont="1" applyBorder="1"/>
    <xf numFmtId="10" fontId="7" fillId="3" borderId="6" xfId="0" applyNumberFormat="1" applyFont="1" applyFill="1" applyBorder="1"/>
    <xf numFmtId="0" fontId="2" fillId="2" borderId="30" xfId="0" applyFont="1" applyFill="1" applyBorder="1" applyAlignment="1">
      <alignment horizontal="center"/>
    </xf>
    <xf numFmtId="0" fontId="2" fillId="2" borderId="40" xfId="0" applyFont="1" applyFill="1" applyBorder="1" applyAlignment="1">
      <alignment horizontal="center"/>
    </xf>
    <xf numFmtId="0" fontId="2" fillId="0" borderId="25" xfId="0" applyFont="1" applyBorder="1" applyAlignment="1">
      <alignment horizontal="center" vertical="center" textRotation="90"/>
    </xf>
    <xf numFmtId="0" fontId="2" fillId="0" borderId="26" xfId="0" applyFont="1" applyBorder="1" applyAlignment="1">
      <alignment horizontal="center" vertical="center" textRotation="90"/>
    </xf>
    <xf numFmtId="0" fontId="2" fillId="0" borderId="23" xfId="0" applyFont="1" applyBorder="1" applyAlignment="1">
      <alignment horizontal="center" vertical="center" textRotation="90"/>
    </xf>
    <xf numFmtId="0" fontId="2" fillId="2" borderId="3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right"/>
    </xf>
    <xf numFmtId="0" fontId="8" fillId="2" borderId="31" xfId="0" applyFont="1" applyFill="1" applyBorder="1" applyAlignment="1">
      <alignment horizontal="right"/>
    </xf>
    <xf numFmtId="0" fontId="2" fillId="0" borderId="13" xfId="0" applyFont="1" applyBorder="1" applyAlignment="1">
      <alignment horizontal="center" vertical="center" textRotation="90" wrapText="1"/>
    </xf>
    <xf numFmtId="0" fontId="3" fillId="0" borderId="13" xfId="0" applyFont="1" applyBorder="1"/>
    <xf numFmtId="11" fontId="2" fillId="3" borderId="7" xfId="0" applyNumberFormat="1" applyFont="1" applyFill="1" applyBorder="1"/>
    <xf numFmtId="0" fontId="3" fillId="0" borderId="7" xfId="0" applyFont="1" applyBorder="1"/>
    <xf numFmtId="10" fontId="2" fillId="3" borderId="14" xfId="0" applyNumberFormat="1" applyFont="1" applyFill="1" applyBorder="1"/>
    <xf numFmtId="0" fontId="3" fillId="0" borderId="14" xfId="0" applyFont="1" applyBorder="1"/>
    <xf numFmtId="11" fontId="2" fillId="3" borderId="7" xfId="0" applyNumberFormat="1" applyFont="1" applyFill="1" applyBorder="1" applyAlignment="1">
      <alignment horizontal="center"/>
    </xf>
    <xf numFmtId="10" fontId="2" fillId="3" borderId="14" xfId="0" applyNumberFormat="1" applyFont="1" applyFill="1" applyBorder="1" applyAlignment="1">
      <alignment horizontal="center"/>
    </xf>
    <xf numFmtId="164" fontId="8" fillId="4" borderId="31" xfId="0" applyNumberFormat="1" applyFont="1" applyFill="1" applyBorder="1" applyAlignment="1">
      <alignment horizontal="center"/>
    </xf>
    <xf numFmtId="10" fontId="7" fillId="3" borderId="14" xfId="0" applyNumberFormat="1" applyFont="1" applyFill="1" applyBorder="1"/>
    <xf numFmtId="0" fontId="3" fillId="0" borderId="13" xfId="0" applyFont="1" applyBorder="1" applyAlignment="1">
      <alignment wrapText="1"/>
    </xf>
    <xf numFmtId="0" fontId="2" fillId="0" borderId="30" xfId="0" applyFont="1" applyBorder="1" applyAlignment="1">
      <alignment horizontal="center" vertical="center"/>
    </xf>
    <xf numFmtId="0" fontId="4" fillId="3" borderId="45" xfId="0" applyFont="1" applyFill="1" applyBorder="1" applyAlignment="1">
      <alignment horizontal="center"/>
    </xf>
    <xf numFmtId="0" fontId="4" fillId="3" borderId="46" xfId="0" applyFont="1" applyFill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0" fontId="7" fillId="3" borderId="42" xfId="0" applyNumberFormat="1" applyFont="1" applyFill="1" applyBorder="1"/>
    <xf numFmtId="0" fontId="3" fillId="0" borderId="36" xfId="0" applyFont="1" applyBorder="1"/>
    <xf numFmtId="0" fontId="3" fillId="0" borderId="43" xfId="0" applyFont="1" applyBorder="1"/>
    <xf numFmtId="10" fontId="2" fillId="3" borderId="42" xfId="0" applyNumberFormat="1" applyFont="1" applyFill="1" applyBorder="1" applyAlignment="1">
      <alignment horizontal="center"/>
    </xf>
    <xf numFmtId="10" fontId="2" fillId="3" borderId="36" xfId="0" applyNumberFormat="1" applyFont="1" applyFill="1" applyBorder="1" applyAlignment="1">
      <alignment horizontal="center"/>
    </xf>
    <xf numFmtId="10" fontId="2" fillId="3" borderId="43" xfId="0" applyNumberFormat="1" applyFont="1" applyFill="1" applyBorder="1" applyAlignment="1">
      <alignment horizontal="center"/>
    </xf>
    <xf numFmtId="0" fontId="3" fillId="0" borderId="26" xfId="0" applyFont="1" applyBorder="1"/>
    <xf numFmtId="10" fontId="2" fillId="3" borderId="42" xfId="0" applyNumberFormat="1" applyFont="1" applyFill="1" applyBorder="1"/>
    <xf numFmtId="0" fontId="2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 textRotation="90" wrapText="1"/>
    </xf>
    <xf numFmtId="0" fontId="2" fillId="0" borderId="23" xfId="0" applyFont="1" applyBorder="1" applyAlignment="1">
      <alignment horizontal="center" vertical="center" textRotation="90" wrapText="1"/>
    </xf>
    <xf numFmtId="10" fontId="7" fillId="3" borderId="42" xfId="0" applyNumberFormat="1" applyFont="1" applyFill="1" applyBorder="1" applyAlignment="1">
      <alignment horizontal="center"/>
    </xf>
    <xf numFmtId="10" fontId="7" fillId="3" borderId="36" xfId="0" applyNumberFormat="1" applyFont="1" applyFill="1" applyBorder="1" applyAlignment="1">
      <alignment horizontal="center"/>
    </xf>
    <xf numFmtId="10" fontId="7" fillId="3" borderId="43" xfId="0" applyNumberFormat="1" applyFont="1" applyFill="1" applyBorder="1" applyAlignment="1">
      <alignment horizontal="center"/>
    </xf>
    <xf numFmtId="164" fontId="8" fillId="4" borderId="44" xfId="0" applyNumberFormat="1" applyFont="1" applyFill="1" applyBorder="1" applyAlignment="1">
      <alignment horizontal="center"/>
    </xf>
    <xf numFmtId="164" fontId="8" fillId="4" borderId="39" xfId="0" applyNumberFormat="1" applyFont="1" applyFill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Q2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Overview!$B$16</c:f>
              <c:strCache>
                <c:ptCount val="1"/>
                <c:pt idx="0">
                  <c:v>Can production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Overview!$C$15:$E$15</c:f>
              <c:strCache>
                <c:ptCount val="3"/>
                <c:pt idx="0">
                  <c:v>Lab1</c:v>
                </c:pt>
                <c:pt idx="1">
                  <c:v>EOLR</c:v>
                </c:pt>
                <c:pt idx="2">
                  <c:v>RC</c:v>
                </c:pt>
              </c:strCache>
            </c:strRef>
          </c:cat>
          <c:val>
            <c:numRef>
              <c:f>Overview!$C$16:$E$16</c:f>
              <c:numCache>
                <c:formatCode>0.00E+00</c:formatCode>
                <c:ptCount val="3"/>
                <c:pt idx="0">
                  <c:v>0.159256756</c:v>
                </c:pt>
                <c:pt idx="1">
                  <c:v>0.159256756</c:v>
                </c:pt>
                <c:pt idx="2">
                  <c:v>0.1053698944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4C-4A34-9893-6E0D293779A2}"/>
            </c:ext>
          </c:extLst>
        </c:ser>
        <c:ser>
          <c:idx val="1"/>
          <c:order val="1"/>
          <c:tx>
            <c:strRef>
              <c:f>Overview!$B$17</c:f>
              <c:strCache>
                <c:ptCount val="1"/>
                <c:pt idx="0">
                  <c:v>Filling of the can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Overview!$C$15:$E$15</c:f>
              <c:strCache>
                <c:ptCount val="3"/>
                <c:pt idx="0">
                  <c:v>Lab1</c:v>
                </c:pt>
                <c:pt idx="1">
                  <c:v>EOLR</c:v>
                </c:pt>
                <c:pt idx="2">
                  <c:v>RC</c:v>
                </c:pt>
              </c:strCache>
            </c:strRef>
          </c:cat>
          <c:val>
            <c:numRef>
              <c:f>Overview!$C$17:$E$17</c:f>
              <c:numCache>
                <c:formatCode>0.00E+00</c:formatCode>
                <c:ptCount val="3"/>
                <c:pt idx="0">
                  <c:v>2.7174889494251002E-2</c:v>
                </c:pt>
                <c:pt idx="1">
                  <c:v>2.7174889494251002E-2</c:v>
                </c:pt>
                <c:pt idx="2">
                  <c:v>2.7174889494251002E-2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4C-4A34-9893-6E0D293779A2}"/>
            </c:ext>
          </c:extLst>
        </c:ser>
        <c:ser>
          <c:idx val="2"/>
          <c:order val="2"/>
          <c:tx>
            <c:strRef>
              <c:f>Overview!$B$18</c:f>
              <c:strCache>
                <c:ptCount val="1"/>
                <c:pt idx="0">
                  <c:v>Cooling of the can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Overview!$C$15:$E$15</c:f>
              <c:strCache>
                <c:ptCount val="3"/>
                <c:pt idx="0">
                  <c:v>Lab1</c:v>
                </c:pt>
                <c:pt idx="1">
                  <c:v>EOLR</c:v>
                </c:pt>
                <c:pt idx="2">
                  <c:v>RC</c:v>
                </c:pt>
              </c:strCache>
            </c:strRef>
          </c:cat>
          <c:val>
            <c:numRef>
              <c:f>Overview!$C$18:$E$18</c:f>
              <c:numCache>
                <c:formatCode>0.00E+00</c:formatCode>
                <c:ptCount val="3"/>
                <c:pt idx="0">
                  <c:v>1.9443680743200002E-3</c:v>
                </c:pt>
                <c:pt idx="1">
                  <c:v>1.9443680743199999E-3</c:v>
                </c:pt>
                <c:pt idx="2">
                  <c:v>1.9443680743199999E-3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4C-4A34-9893-6E0D293779A2}"/>
            </c:ext>
          </c:extLst>
        </c:ser>
        <c:ser>
          <c:idx val="3"/>
          <c:order val="3"/>
          <c:tx>
            <c:strRef>
              <c:f>Overview!$B$19</c:f>
              <c:strCache>
                <c:ptCount val="1"/>
                <c:pt idx="0">
                  <c:v>End of life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Overview!$C$15:$E$15</c:f>
              <c:strCache>
                <c:ptCount val="3"/>
                <c:pt idx="0">
                  <c:v>Lab1</c:v>
                </c:pt>
                <c:pt idx="1">
                  <c:v>EOLR</c:v>
                </c:pt>
                <c:pt idx="2">
                  <c:v>RC</c:v>
                </c:pt>
              </c:strCache>
            </c:strRef>
          </c:cat>
          <c:val>
            <c:numRef>
              <c:f>Overview!$C$19:$E$19</c:f>
              <c:numCache>
                <c:formatCode>0.00E+00</c:formatCode>
                <c:ptCount val="3"/>
                <c:pt idx="0">
                  <c:v>1.5076899607366998E-2</c:v>
                </c:pt>
                <c:pt idx="1">
                  <c:v>-7.1283956945392649E-2</c:v>
                </c:pt>
                <c:pt idx="2">
                  <c:v>5.7458668573669991E-3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4C-4A34-9893-6E0D29377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47490688"/>
        <c:axId val="577865232"/>
      </c:barChart>
      <c:scatterChart>
        <c:scatterStyle val="lineMarker"/>
        <c:varyColors val="0"/>
        <c:ser>
          <c:idx val="4"/>
          <c:order val="4"/>
          <c:tx>
            <c:strRef>
              <c:f>Overview!$B$20</c:f>
              <c:strCache>
                <c:ptCount val="1"/>
                <c:pt idx="0">
                  <c:v>Total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4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strRef>
              <c:f>Overview!$C$15:$E$15</c:f>
              <c:strCache>
                <c:ptCount val="3"/>
                <c:pt idx="0">
                  <c:v>Lab1</c:v>
                </c:pt>
                <c:pt idx="1">
                  <c:v>EOLR</c:v>
                </c:pt>
                <c:pt idx="2">
                  <c:v>RC</c:v>
                </c:pt>
              </c:strCache>
            </c:strRef>
          </c:xVal>
          <c:yVal>
            <c:numRef>
              <c:f>Overview!$C$20:$E$20</c:f>
              <c:numCache>
                <c:formatCode>0.00E+00</c:formatCode>
                <c:ptCount val="3"/>
                <c:pt idx="0">
                  <c:v>0.203452913175938</c:v>
                </c:pt>
                <c:pt idx="1">
                  <c:v>0.11709205662317836</c:v>
                </c:pt>
                <c:pt idx="2">
                  <c:v>0.140235018825938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C4C-4A34-9893-6E0D29377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7490688"/>
        <c:axId val="577865232"/>
      </c:scatterChart>
      <c:catAx>
        <c:axId val="247490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865232"/>
        <c:crosses val="autoZero"/>
        <c:auto val="1"/>
        <c:lblAlgn val="ctr"/>
        <c:lblOffset val="100"/>
        <c:noMultiLvlLbl val="0"/>
      </c:catAx>
      <c:valAx>
        <c:axId val="577865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7490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Q1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Overview!$B$5</c:f>
              <c:strCache>
                <c:ptCount val="1"/>
                <c:pt idx="0">
                  <c:v>Can production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Overview!$C$4:$E$4</c:f>
              <c:strCache>
                <c:ptCount val="3"/>
                <c:pt idx="0">
                  <c:v>Lab1</c:v>
                </c:pt>
                <c:pt idx="1">
                  <c:v>EOLR</c:v>
                </c:pt>
                <c:pt idx="2">
                  <c:v>RC</c:v>
                </c:pt>
              </c:strCache>
            </c:strRef>
          </c:cat>
          <c:val>
            <c:numRef>
              <c:f>Overview!$C$5:$E$5</c:f>
              <c:numCache>
                <c:formatCode>0.00E+00</c:formatCode>
                <c:ptCount val="3"/>
                <c:pt idx="0">
                  <c:v>0.159256756</c:v>
                </c:pt>
                <c:pt idx="1">
                  <c:v>0.159256756</c:v>
                </c:pt>
                <c:pt idx="2">
                  <c:v>0.159256756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DE-4C54-BCF3-6E1485233F7B}"/>
            </c:ext>
          </c:extLst>
        </c:ser>
        <c:ser>
          <c:idx val="1"/>
          <c:order val="1"/>
          <c:tx>
            <c:strRef>
              <c:f>Overview!$B$6</c:f>
              <c:strCache>
                <c:ptCount val="1"/>
                <c:pt idx="0">
                  <c:v>Filling of the can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Overview!$C$4:$E$4</c:f>
              <c:strCache>
                <c:ptCount val="3"/>
                <c:pt idx="0">
                  <c:v>Lab1</c:v>
                </c:pt>
                <c:pt idx="1">
                  <c:v>EOLR</c:v>
                </c:pt>
                <c:pt idx="2">
                  <c:v>RC</c:v>
                </c:pt>
              </c:strCache>
            </c:strRef>
          </c:cat>
          <c:val>
            <c:numRef>
              <c:f>Overview!$C$6:$E$6</c:f>
              <c:numCache>
                <c:formatCode>0.00E+00</c:formatCode>
                <c:ptCount val="3"/>
                <c:pt idx="0">
                  <c:v>2.7174889494251002E-2</c:v>
                </c:pt>
                <c:pt idx="1">
                  <c:v>2.7174889494251002E-2</c:v>
                </c:pt>
                <c:pt idx="2">
                  <c:v>2.7174889494251002E-2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DE-4C54-BCF3-6E1485233F7B}"/>
            </c:ext>
          </c:extLst>
        </c:ser>
        <c:ser>
          <c:idx val="2"/>
          <c:order val="2"/>
          <c:tx>
            <c:strRef>
              <c:f>Overview!$B$7</c:f>
              <c:strCache>
                <c:ptCount val="1"/>
                <c:pt idx="0">
                  <c:v>Cooling of the can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Overview!$C$4:$E$4</c:f>
              <c:strCache>
                <c:ptCount val="3"/>
                <c:pt idx="0">
                  <c:v>Lab1</c:v>
                </c:pt>
                <c:pt idx="1">
                  <c:v>EOLR</c:v>
                </c:pt>
                <c:pt idx="2">
                  <c:v>RC</c:v>
                </c:pt>
              </c:strCache>
            </c:strRef>
          </c:cat>
          <c:val>
            <c:numRef>
              <c:f>Overview!$C$7:$E$7</c:f>
              <c:numCache>
                <c:formatCode>0.00E+00</c:formatCode>
                <c:ptCount val="3"/>
                <c:pt idx="0">
                  <c:v>1.9443680743200002E-3</c:v>
                </c:pt>
                <c:pt idx="1">
                  <c:v>1.9443680743199999E-3</c:v>
                </c:pt>
                <c:pt idx="2">
                  <c:v>1.9443680743199999E-3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DE-4C54-BCF3-6E1485233F7B}"/>
            </c:ext>
          </c:extLst>
        </c:ser>
        <c:ser>
          <c:idx val="3"/>
          <c:order val="3"/>
          <c:tx>
            <c:strRef>
              <c:f>Overview!$B$8</c:f>
              <c:strCache>
                <c:ptCount val="1"/>
                <c:pt idx="0">
                  <c:v>End of life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Overview!$C$4:$E$4</c:f>
              <c:strCache>
                <c:ptCount val="3"/>
                <c:pt idx="0">
                  <c:v>Lab1</c:v>
                </c:pt>
                <c:pt idx="1">
                  <c:v>EOLR</c:v>
                </c:pt>
                <c:pt idx="2">
                  <c:v>RC</c:v>
                </c:pt>
              </c:strCache>
            </c:strRef>
          </c:cat>
          <c:val>
            <c:numRef>
              <c:f>Overview!$C$8:$E$8</c:f>
              <c:numCache>
                <c:formatCode>0.00E+00</c:formatCode>
                <c:ptCount val="3"/>
                <c:pt idx="0">
                  <c:v>1.5076899607366998E-2</c:v>
                </c:pt>
                <c:pt idx="1">
                  <c:v>-7.1283956945392649E-2</c:v>
                </c:pt>
                <c:pt idx="2">
                  <c:v>5.7458668573669991E-3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BDE-4C54-BCF3-6E1485233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47490688"/>
        <c:axId val="577865232"/>
      </c:barChart>
      <c:scatterChart>
        <c:scatterStyle val="lineMarker"/>
        <c:varyColors val="0"/>
        <c:ser>
          <c:idx val="4"/>
          <c:order val="4"/>
          <c:tx>
            <c:strRef>
              <c:f>Overview!$B$9</c:f>
              <c:strCache>
                <c:ptCount val="1"/>
                <c:pt idx="0">
                  <c:v>Total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4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strRef>
              <c:f>Overview!$C$4:$E$4</c:f>
              <c:strCache>
                <c:ptCount val="3"/>
                <c:pt idx="0">
                  <c:v>Lab1</c:v>
                </c:pt>
                <c:pt idx="1">
                  <c:v>EOLR</c:v>
                </c:pt>
                <c:pt idx="2">
                  <c:v>RC</c:v>
                </c:pt>
              </c:strCache>
            </c:strRef>
          </c:xVal>
          <c:yVal>
            <c:numRef>
              <c:f>Overview!$C$9:$E$9</c:f>
              <c:numCache>
                <c:formatCode>0.00E+00</c:formatCode>
                <c:ptCount val="3"/>
                <c:pt idx="0">
                  <c:v>0.203452913175938</c:v>
                </c:pt>
                <c:pt idx="1">
                  <c:v>0.11709205662317836</c:v>
                </c:pt>
                <c:pt idx="2">
                  <c:v>0.194121880425938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BDE-4C54-BCF3-6E1485233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7490688"/>
        <c:axId val="577865232"/>
      </c:scatterChart>
      <c:catAx>
        <c:axId val="247490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865232"/>
        <c:crosses val="autoZero"/>
        <c:auto val="1"/>
        <c:lblAlgn val="ctr"/>
        <c:lblOffset val="100"/>
        <c:noMultiLvlLbl val="0"/>
      </c:catAx>
      <c:valAx>
        <c:axId val="577865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7490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Overview!$B$5</c:f>
              <c:strCache>
                <c:ptCount val="1"/>
                <c:pt idx="0">
                  <c:v>Can production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Overview!$F$4:$H$4</c:f>
              <c:strCache>
                <c:ptCount val="3"/>
                <c:pt idx="1">
                  <c:v>EOLR</c:v>
                </c:pt>
                <c:pt idx="2">
                  <c:v>RC</c:v>
                </c:pt>
              </c:strCache>
            </c:strRef>
          </c:cat>
          <c:val>
            <c:numRef>
              <c:f>Overview!$F$5:$H$5</c:f>
              <c:numCache>
                <c:formatCode>0%</c:formatCode>
                <c:ptCount val="3"/>
                <c:pt idx="0">
                  <c:v>0.78276960262683037</c:v>
                </c:pt>
                <c:pt idx="1">
                  <c:v>0.78276960262683037</c:v>
                </c:pt>
                <c:pt idx="2">
                  <c:v>0.78276960262683037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9F-4BA1-A1C4-015E93300660}"/>
            </c:ext>
          </c:extLst>
        </c:ser>
        <c:ser>
          <c:idx val="1"/>
          <c:order val="1"/>
          <c:tx>
            <c:strRef>
              <c:f>Overview!$B$6</c:f>
              <c:strCache>
                <c:ptCount val="1"/>
                <c:pt idx="0">
                  <c:v>Filling of the can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Overview!$F$4:$H$4</c:f>
              <c:strCache>
                <c:ptCount val="3"/>
                <c:pt idx="1">
                  <c:v>EOLR</c:v>
                </c:pt>
                <c:pt idx="2">
                  <c:v>RC</c:v>
                </c:pt>
              </c:strCache>
            </c:strRef>
          </c:cat>
          <c:val>
            <c:numRef>
              <c:f>Overview!$F$6:$H$6</c:f>
              <c:numCache>
                <c:formatCode>0%</c:formatCode>
                <c:ptCount val="3"/>
                <c:pt idx="0">
                  <c:v>0.13356844623183761</c:v>
                </c:pt>
                <c:pt idx="1">
                  <c:v>0.13356844623183761</c:v>
                </c:pt>
                <c:pt idx="2">
                  <c:v>0.13356844623183761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9F-4BA1-A1C4-015E93300660}"/>
            </c:ext>
          </c:extLst>
        </c:ser>
        <c:ser>
          <c:idx val="2"/>
          <c:order val="2"/>
          <c:tx>
            <c:strRef>
              <c:f>Overview!$B$7</c:f>
              <c:strCache>
                <c:ptCount val="1"/>
                <c:pt idx="0">
                  <c:v>Cooling of the can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Overview!$F$4:$H$4</c:f>
              <c:strCache>
                <c:ptCount val="3"/>
                <c:pt idx="1">
                  <c:v>EOLR</c:v>
                </c:pt>
                <c:pt idx="2">
                  <c:v>RC</c:v>
                </c:pt>
              </c:strCache>
            </c:strRef>
          </c:cat>
          <c:val>
            <c:numRef>
              <c:f>Overview!$F$7:$H$7</c:f>
              <c:numCache>
                <c:formatCode>0%</c:formatCode>
                <c:ptCount val="3"/>
                <c:pt idx="0">
                  <c:v>9.5568455814569134E-3</c:v>
                </c:pt>
                <c:pt idx="1">
                  <c:v>9.5568455814569134E-3</c:v>
                </c:pt>
                <c:pt idx="2">
                  <c:v>9.5568455814569134E-3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9F-4BA1-A1C4-015E93300660}"/>
            </c:ext>
          </c:extLst>
        </c:ser>
        <c:ser>
          <c:idx val="3"/>
          <c:order val="3"/>
          <c:tx>
            <c:strRef>
              <c:f>Overview!$B$8</c:f>
              <c:strCache>
                <c:ptCount val="1"/>
                <c:pt idx="0">
                  <c:v>End of life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Overview!$F$4:$H$4</c:f>
              <c:strCache>
                <c:ptCount val="3"/>
                <c:pt idx="1">
                  <c:v>EOLR</c:v>
                </c:pt>
                <c:pt idx="2">
                  <c:v>RC</c:v>
                </c:pt>
              </c:strCache>
            </c:strRef>
          </c:cat>
          <c:val>
            <c:numRef>
              <c:f>Overview!$F$8:$H$8</c:f>
              <c:numCache>
                <c:formatCode>0%</c:formatCode>
                <c:ptCount val="3"/>
                <c:pt idx="0">
                  <c:v>7.4105105559875151E-2</c:v>
                </c:pt>
                <c:pt idx="1">
                  <c:v>-0.35037078522315929</c:v>
                </c:pt>
                <c:pt idx="2">
                  <c:v>2.8241752687012161E-2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9F-4BA1-A1C4-015E93300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47490688"/>
        <c:axId val="577865232"/>
      </c:barChart>
      <c:scatterChart>
        <c:scatterStyle val="lineMarker"/>
        <c:varyColors val="0"/>
        <c:ser>
          <c:idx val="4"/>
          <c:order val="4"/>
          <c:tx>
            <c:strRef>
              <c:f>Overview!$B$9</c:f>
              <c:strCache>
                <c:ptCount val="1"/>
                <c:pt idx="0">
                  <c:v>Total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4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strRef>
              <c:f>Overview!$F$4:$H$4</c:f>
              <c:strCache>
                <c:ptCount val="3"/>
                <c:pt idx="1">
                  <c:v>EOLR</c:v>
                </c:pt>
                <c:pt idx="2">
                  <c:v>RC</c:v>
                </c:pt>
              </c:strCache>
            </c:strRef>
          </c:xVal>
          <c:yVal>
            <c:numRef>
              <c:f>Overview!$F$9:$H$9</c:f>
              <c:numCache>
                <c:formatCode>0%</c:formatCode>
                <c:ptCount val="3"/>
                <c:pt idx="0">
                  <c:v>1</c:v>
                </c:pt>
                <c:pt idx="1">
                  <c:v>0.57552410921696562</c:v>
                </c:pt>
                <c:pt idx="2">
                  <c:v>0.95413664712713697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D9F-4BA1-A1C4-015E93300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7490688"/>
        <c:axId val="577865232"/>
      </c:scatterChart>
      <c:catAx>
        <c:axId val="247490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865232"/>
        <c:crosses val="autoZero"/>
        <c:auto val="1"/>
        <c:lblAlgn val="ctr"/>
        <c:lblOffset val="100"/>
        <c:noMultiLvlLbl val="0"/>
      </c:catAx>
      <c:valAx>
        <c:axId val="577865232"/>
        <c:scaling>
          <c:orientation val="minMax"/>
          <c:max val="1"/>
          <c:min val="-0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7490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Q2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Overview!$B$16</c:f>
              <c:strCache>
                <c:ptCount val="1"/>
                <c:pt idx="0">
                  <c:v>Can production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Overview!$F$4:$H$4</c:f>
              <c:strCache>
                <c:ptCount val="3"/>
                <c:pt idx="1">
                  <c:v>EOLR</c:v>
                </c:pt>
                <c:pt idx="2">
                  <c:v>RC</c:v>
                </c:pt>
              </c:strCache>
            </c:strRef>
          </c:cat>
          <c:val>
            <c:numRef>
              <c:f>Overview!$F$16:$H$16</c:f>
              <c:numCache>
                <c:formatCode>0%</c:formatCode>
                <c:ptCount val="3"/>
                <c:pt idx="0">
                  <c:v>0.78276960262683037</c:v>
                </c:pt>
                <c:pt idx="1">
                  <c:v>0.78276960262683037</c:v>
                </c:pt>
                <c:pt idx="2">
                  <c:v>0.51790801495616967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4C-4893-A851-74B60A1D98E7}"/>
            </c:ext>
          </c:extLst>
        </c:ser>
        <c:ser>
          <c:idx val="1"/>
          <c:order val="1"/>
          <c:tx>
            <c:strRef>
              <c:f>Overview!$B$17</c:f>
              <c:strCache>
                <c:ptCount val="1"/>
                <c:pt idx="0">
                  <c:v>Filling of the can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Overview!$F$4:$H$4</c:f>
              <c:strCache>
                <c:ptCount val="3"/>
                <c:pt idx="1">
                  <c:v>EOLR</c:v>
                </c:pt>
                <c:pt idx="2">
                  <c:v>RC</c:v>
                </c:pt>
              </c:strCache>
            </c:strRef>
          </c:cat>
          <c:val>
            <c:numRef>
              <c:f>Overview!$F$17:$H$17</c:f>
              <c:numCache>
                <c:formatCode>0%</c:formatCode>
                <c:ptCount val="3"/>
                <c:pt idx="0">
                  <c:v>0.13356844623183761</c:v>
                </c:pt>
                <c:pt idx="1">
                  <c:v>0.13356844623183761</c:v>
                </c:pt>
                <c:pt idx="2">
                  <c:v>0.13356844623183761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4C-4893-A851-74B60A1D98E7}"/>
            </c:ext>
          </c:extLst>
        </c:ser>
        <c:ser>
          <c:idx val="2"/>
          <c:order val="2"/>
          <c:tx>
            <c:strRef>
              <c:f>Overview!$B$18</c:f>
              <c:strCache>
                <c:ptCount val="1"/>
                <c:pt idx="0">
                  <c:v>Cooling of the can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Overview!$F$4:$H$4</c:f>
              <c:strCache>
                <c:ptCount val="3"/>
                <c:pt idx="1">
                  <c:v>EOLR</c:v>
                </c:pt>
                <c:pt idx="2">
                  <c:v>RC</c:v>
                </c:pt>
              </c:strCache>
            </c:strRef>
          </c:cat>
          <c:val>
            <c:numRef>
              <c:f>Overview!$F$18:$H$18</c:f>
              <c:numCache>
                <c:formatCode>0%</c:formatCode>
                <c:ptCount val="3"/>
                <c:pt idx="0">
                  <c:v>9.5568455814569134E-3</c:v>
                </c:pt>
                <c:pt idx="1">
                  <c:v>9.5568455814569134E-3</c:v>
                </c:pt>
                <c:pt idx="2">
                  <c:v>9.5568455814569134E-3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4C-4893-A851-74B60A1D98E7}"/>
            </c:ext>
          </c:extLst>
        </c:ser>
        <c:ser>
          <c:idx val="3"/>
          <c:order val="3"/>
          <c:tx>
            <c:strRef>
              <c:f>Overview!$B$19</c:f>
              <c:strCache>
                <c:ptCount val="1"/>
                <c:pt idx="0">
                  <c:v>End of life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Overview!$F$4:$H$4</c:f>
              <c:strCache>
                <c:ptCount val="3"/>
                <c:pt idx="1">
                  <c:v>EOLR</c:v>
                </c:pt>
                <c:pt idx="2">
                  <c:v>RC</c:v>
                </c:pt>
              </c:strCache>
            </c:strRef>
          </c:cat>
          <c:val>
            <c:numRef>
              <c:f>Overview!$F$19:$H$19</c:f>
              <c:numCache>
                <c:formatCode>0%</c:formatCode>
                <c:ptCount val="3"/>
                <c:pt idx="0">
                  <c:v>7.4105105559875151E-2</c:v>
                </c:pt>
                <c:pt idx="1">
                  <c:v>-0.35037078522315929</c:v>
                </c:pt>
                <c:pt idx="2">
                  <c:v>2.8241752687012161E-2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64C-4893-A851-74B60A1D9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47490688"/>
        <c:axId val="577865232"/>
      </c:barChart>
      <c:scatterChart>
        <c:scatterStyle val="lineMarker"/>
        <c:varyColors val="0"/>
        <c:ser>
          <c:idx val="4"/>
          <c:order val="4"/>
          <c:tx>
            <c:strRef>
              <c:f>Overview!$B$20</c:f>
              <c:strCache>
                <c:ptCount val="1"/>
                <c:pt idx="0">
                  <c:v>Total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4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strRef>
              <c:f>Overview!$F$4:$H$4</c:f>
              <c:strCache>
                <c:ptCount val="3"/>
                <c:pt idx="1">
                  <c:v>EOLR</c:v>
                </c:pt>
                <c:pt idx="2">
                  <c:v>RC</c:v>
                </c:pt>
              </c:strCache>
            </c:strRef>
          </c:xVal>
          <c:yVal>
            <c:numRef>
              <c:f>Overview!$F$20:$H$20</c:f>
              <c:numCache>
                <c:formatCode>0%</c:formatCode>
                <c:ptCount val="3"/>
                <c:pt idx="0">
                  <c:v>1</c:v>
                </c:pt>
                <c:pt idx="1">
                  <c:v>0.57552410921696562</c:v>
                </c:pt>
                <c:pt idx="2">
                  <c:v>0.68927505945647638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64C-4893-A851-74B60A1D9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7490688"/>
        <c:axId val="577865232"/>
      </c:scatterChart>
      <c:catAx>
        <c:axId val="247490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865232"/>
        <c:crosses val="autoZero"/>
        <c:auto val="1"/>
        <c:lblAlgn val="ctr"/>
        <c:lblOffset val="100"/>
        <c:noMultiLvlLbl val="0"/>
      </c:catAx>
      <c:valAx>
        <c:axId val="577865232"/>
        <c:scaling>
          <c:orientation val="minMax"/>
          <c:max val="1"/>
          <c:min val="-0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7490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238125</xdr:colOff>
      <xdr:row>17</xdr:row>
      <xdr:rowOff>147637</xdr:rowOff>
    </xdr:from>
    <xdr:to>
      <xdr:col>16</xdr:col>
      <xdr:colOff>542925</xdr:colOff>
      <xdr:row>32</xdr:row>
      <xdr:rowOff>33337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5040299-3F7B-4CE0-968F-986151B1C1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257175</xdr:colOff>
      <xdr:row>2</xdr:row>
      <xdr:rowOff>19050</xdr:rowOff>
    </xdr:from>
    <xdr:to>
      <xdr:col>16</xdr:col>
      <xdr:colOff>561975</xdr:colOff>
      <xdr:row>16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F65138D-D312-4BA0-B63B-0EC12C5DE3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228600</xdr:colOff>
      <xdr:row>2</xdr:row>
      <xdr:rowOff>28575</xdr:rowOff>
    </xdr:from>
    <xdr:to>
      <xdr:col>24</xdr:col>
      <xdr:colOff>533400</xdr:colOff>
      <xdr:row>16</xdr:row>
      <xdr:rowOff>104775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E8C6A07-98C5-4F24-BFF0-CF8AFBB139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171450</xdr:colOff>
      <xdr:row>17</xdr:row>
      <xdr:rowOff>161925</xdr:rowOff>
    </xdr:from>
    <xdr:to>
      <xdr:col>24</xdr:col>
      <xdr:colOff>476250</xdr:colOff>
      <xdr:row>32</xdr:row>
      <xdr:rowOff>47625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90E5C23-A2F7-4F3A-939F-1B5847F2A2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35"/>
  <sheetViews>
    <sheetView workbookViewId="0">
      <selection activeCell="N26" sqref="N26"/>
    </sheetView>
  </sheetViews>
  <sheetFormatPr defaultRowHeight="15" outlineLevelCol="1"/>
  <cols>
    <col min="3" max="3" width="38.7109375" customWidth="1"/>
    <col min="4" max="4" width="9.85546875" bestFit="1" customWidth="1"/>
    <col min="5" max="5" width="9.7109375" bestFit="1" customWidth="1"/>
    <col min="6" max="6" width="10" hidden="1" customWidth="1" outlineLevel="1"/>
    <col min="7" max="7" width="12" hidden="1" customWidth="1" outlineLevel="1"/>
    <col min="8" max="8" width="5.85546875" hidden="1" customWidth="1" outlineLevel="1"/>
    <col min="9" max="9" width="9.28515625" bestFit="1" customWidth="1" collapsed="1"/>
  </cols>
  <sheetData>
    <row r="2" spans="2:9" ht="15.75" thickBot="1"/>
    <row r="3" spans="2:9">
      <c r="C3" s="85" t="s">
        <v>0</v>
      </c>
      <c r="D3" s="86"/>
    </row>
    <row r="4" spans="2:9" ht="15.75" thickBot="1">
      <c r="C4" s="54" t="s">
        <v>1</v>
      </c>
      <c r="D4" s="55">
        <v>29.7</v>
      </c>
    </row>
    <row r="5" spans="2:9" ht="15.75" thickBot="1">
      <c r="D5" s="2"/>
    </row>
    <row r="6" spans="2:9">
      <c r="B6" s="97" t="s">
        <v>2</v>
      </c>
      <c r="C6" s="98" t="s">
        <v>3</v>
      </c>
      <c r="D6" s="98" t="s">
        <v>4</v>
      </c>
      <c r="E6" s="98" t="s">
        <v>5</v>
      </c>
      <c r="F6" s="94" t="s">
        <v>53</v>
      </c>
      <c r="G6" s="95"/>
      <c r="H6" s="95"/>
      <c r="I6" s="96"/>
    </row>
    <row r="7" spans="2:9">
      <c r="B7" s="90"/>
      <c r="C7" s="99"/>
      <c r="D7" s="99"/>
      <c r="E7" s="99"/>
      <c r="F7" s="52" t="s">
        <v>8</v>
      </c>
      <c r="G7" s="52" t="s">
        <v>9</v>
      </c>
      <c r="H7" s="52"/>
      <c r="I7" s="53" t="s">
        <v>54</v>
      </c>
    </row>
    <row r="8" spans="2:9" ht="15.75">
      <c r="B8" s="89" t="s">
        <v>11</v>
      </c>
      <c r="C8" s="5" t="s">
        <v>12</v>
      </c>
      <c r="D8" s="6">
        <v>13</v>
      </c>
      <c r="E8" s="6" t="s">
        <v>13</v>
      </c>
      <c r="F8" s="3">
        <v>10.63672</v>
      </c>
      <c r="G8" s="3">
        <v>1.7170000000000001E-2</v>
      </c>
      <c r="H8" s="7" t="s">
        <v>14</v>
      </c>
      <c r="I8" s="36">
        <f>(F8*D8+(G8*D4*D8))/1000</f>
        <v>0.144906697</v>
      </c>
    </row>
    <row r="9" spans="2:9" ht="15.75">
      <c r="B9" s="92"/>
      <c r="C9" s="5" t="s">
        <v>15</v>
      </c>
      <c r="D9" s="6">
        <v>3.0000000000000001E-3</v>
      </c>
      <c r="E9" s="6" t="s">
        <v>16</v>
      </c>
      <c r="F9" s="3">
        <v>0.15732000000000002</v>
      </c>
      <c r="G9" s="3">
        <v>9.7900000000000001E-3</v>
      </c>
      <c r="H9" s="7" t="s">
        <v>17</v>
      </c>
      <c r="I9" s="36">
        <f>(F9*D9+(G9*$D$4*D9))</f>
        <v>1.3442490000000001E-3</v>
      </c>
    </row>
    <row r="10" spans="2:9" ht="15.75">
      <c r="B10" s="92"/>
      <c r="C10" s="5" t="s">
        <v>18</v>
      </c>
      <c r="D10" s="6">
        <v>0.03</v>
      </c>
      <c r="E10" s="6" t="s">
        <v>19</v>
      </c>
      <c r="F10" s="3">
        <v>0.22244000000000003</v>
      </c>
      <c r="G10" s="3">
        <v>7.1000000000000002E-4</v>
      </c>
      <c r="H10" s="7" t="s">
        <v>20</v>
      </c>
      <c r="I10" s="36">
        <f>(F10*D10+(G10*$D$4*D10))</f>
        <v>7.3058100000000011E-3</v>
      </c>
    </row>
    <row r="11" spans="2:9">
      <c r="B11" s="93"/>
      <c r="C11" s="1" t="s">
        <v>21</v>
      </c>
      <c r="D11" s="11">
        <v>5.7</v>
      </c>
      <c r="E11" s="11" t="s">
        <v>13</v>
      </c>
      <c r="F11" s="7" t="s">
        <v>22</v>
      </c>
      <c r="G11" s="3" t="s">
        <v>22</v>
      </c>
      <c r="H11" s="7" t="s">
        <v>22</v>
      </c>
      <c r="I11" s="36">
        <f>D11/1000</f>
        <v>5.7000000000000002E-3</v>
      </c>
    </row>
    <row r="12" spans="2:9" ht="15.75">
      <c r="B12" s="89" t="s">
        <v>23</v>
      </c>
      <c r="C12" s="5" t="s">
        <v>24</v>
      </c>
      <c r="D12" s="6">
        <v>355</v>
      </c>
      <c r="E12" s="6" t="s">
        <v>13</v>
      </c>
      <c r="F12" s="3">
        <v>9.7999999999999997E-4</v>
      </c>
      <c r="G12" s="3">
        <v>2.295366E-6</v>
      </c>
      <c r="H12" s="7" t="s">
        <v>14</v>
      </c>
      <c r="I12" s="36">
        <f>(F12*D12+(G12*$D$4*D12))/1000</f>
        <v>3.7210119142099993E-4</v>
      </c>
    </row>
    <row r="13" spans="2:9" ht="15.75">
      <c r="B13" s="92"/>
      <c r="C13" s="5" t="s">
        <v>18</v>
      </c>
      <c r="D13" s="6">
        <v>8.9999999999999993E-3</v>
      </c>
      <c r="E13" s="6" t="s">
        <v>19</v>
      </c>
      <c r="F13" s="3">
        <v>0.22244000000000003</v>
      </c>
      <c r="G13" s="3">
        <v>7.1000000000000002E-4</v>
      </c>
      <c r="H13" s="7" t="s">
        <v>20</v>
      </c>
      <c r="I13" s="36">
        <f>(F13*D13+(G13*$D$4*D13))</f>
        <v>2.1917430000000003E-3</v>
      </c>
    </row>
    <row r="14" spans="2:9" ht="15.75">
      <c r="B14" s="92"/>
      <c r="C14" s="5" t="s">
        <v>25</v>
      </c>
      <c r="D14" s="6">
        <v>20</v>
      </c>
      <c r="E14" s="6" t="s">
        <v>13</v>
      </c>
      <c r="F14" s="3">
        <v>0.51792000000000005</v>
      </c>
      <c r="G14" s="3">
        <v>1.1480000000000001E-2</v>
      </c>
      <c r="H14" s="7" t="s">
        <v>14</v>
      </c>
      <c r="I14" s="36">
        <f>(F14*D14+(G14*$D$4*D14))/1000</f>
        <v>1.7177520000000002E-2</v>
      </c>
    </row>
    <row r="15" spans="2:9" ht="15.75">
      <c r="B15" s="93"/>
      <c r="C15" s="5" t="s">
        <v>26</v>
      </c>
      <c r="D15" s="6">
        <v>1.0999999999999999E-2</v>
      </c>
      <c r="E15" s="6" t="s">
        <v>27</v>
      </c>
      <c r="F15" s="8">
        <v>0.13158</v>
      </c>
      <c r="G15" s="8">
        <v>1.8323064899999998E-2</v>
      </c>
      <c r="H15" s="7" t="s">
        <v>28</v>
      </c>
      <c r="I15" s="36">
        <f>(F15*D15+(G15*$D$4*D15))</f>
        <v>7.4335253028299988E-3</v>
      </c>
    </row>
    <row r="16" spans="2:9">
      <c r="B16" s="89" t="s">
        <v>29</v>
      </c>
      <c r="C16" s="1" t="s">
        <v>30</v>
      </c>
      <c r="D16" s="23">
        <v>1.57E-6</v>
      </c>
      <c r="E16" s="11" t="s">
        <v>31</v>
      </c>
      <c r="F16" s="3">
        <v>191.53816</v>
      </c>
      <c r="G16" s="3">
        <v>0.94328000000000001</v>
      </c>
      <c r="H16" s="7" t="s">
        <v>32</v>
      </c>
      <c r="I16" s="36">
        <f>(F16*D16+(G16*$D$4*D16))</f>
        <v>3.4469911431999999E-4</v>
      </c>
    </row>
    <row r="17" spans="2:9">
      <c r="B17" s="90"/>
      <c r="C17" s="1" t="s">
        <v>33</v>
      </c>
      <c r="D17" s="11">
        <v>6.5199999999999998E-3</v>
      </c>
      <c r="E17" s="11" t="s">
        <v>19</v>
      </c>
      <c r="F17" s="3">
        <v>0.22040000000000001</v>
      </c>
      <c r="G17" s="3">
        <v>8.4000000000000003E-4</v>
      </c>
      <c r="H17" s="7" t="s">
        <v>20</v>
      </c>
      <c r="I17" s="36">
        <f>(F17*D17+(G17*$D$4*D17))</f>
        <v>1.5996689600000001E-3</v>
      </c>
    </row>
    <row r="18" spans="2:9">
      <c r="B18" s="89" t="s">
        <v>34</v>
      </c>
      <c r="C18" s="9" t="s">
        <v>26</v>
      </c>
      <c r="D18" s="11">
        <v>3.8999999999999998E-3</v>
      </c>
      <c r="E18" s="11" t="s">
        <v>27</v>
      </c>
      <c r="F18" s="8">
        <v>0.13158</v>
      </c>
      <c r="G18" s="8">
        <v>1.8323064899999998E-2</v>
      </c>
      <c r="H18" s="7" t="s">
        <v>28</v>
      </c>
      <c r="I18" s="36">
        <f>(F18*D18+(G18*$D$4*D18))</f>
        <v>2.635522607367E-3</v>
      </c>
    </row>
    <row r="19" spans="2:9" ht="15.75" thickBot="1">
      <c r="B19" s="91"/>
      <c r="C19" s="37" t="s">
        <v>35</v>
      </c>
      <c r="D19" s="38">
        <f>D8</f>
        <v>13</v>
      </c>
      <c r="E19" s="38" t="s">
        <v>13</v>
      </c>
      <c r="F19" s="39">
        <v>9.3649999999999997E-2</v>
      </c>
      <c r="G19" s="39">
        <v>2.9069999999999999E-2</v>
      </c>
      <c r="H19" s="40" t="s">
        <v>14</v>
      </c>
      <c r="I19" s="41">
        <f>(F19*D19+(G19*$D$4*D19))/1000</f>
        <v>1.2441376999999998E-2</v>
      </c>
    </row>
    <row r="20" spans="2:9" ht="15.75" thickBot="1">
      <c r="G20" s="87" t="s">
        <v>36</v>
      </c>
      <c r="H20" s="88"/>
      <c r="I20" s="42">
        <f>SUM(I8:I19)</f>
        <v>0.203452913175938</v>
      </c>
    </row>
    <row r="21" spans="2:9" ht="15.75" thickBot="1">
      <c r="G21" s="27"/>
      <c r="H21" s="28"/>
      <c r="I21" s="29"/>
    </row>
    <row r="22" spans="2:9">
      <c r="C22" s="30" t="s">
        <v>11</v>
      </c>
      <c r="D22" s="31">
        <f>SUM(I8:I11)</f>
        <v>0.159256756</v>
      </c>
    </row>
    <row r="23" spans="2:9">
      <c r="C23" s="32" t="s">
        <v>23</v>
      </c>
      <c r="D23" s="33">
        <f>SUM(I12:I15)</f>
        <v>2.7174889494251002E-2</v>
      </c>
    </row>
    <row r="24" spans="2:9">
      <c r="C24" s="32" t="s">
        <v>29</v>
      </c>
      <c r="D24" s="33">
        <f>SUM(I16:I17)</f>
        <v>1.9443680743200002E-3</v>
      </c>
    </row>
    <row r="25" spans="2:9" ht="15.75" thickBot="1">
      <c r="C25" s="34" t="s">
        <v>34</v>
      </c>
      <c r="D25" s="35">
        <f>SUM(I18:I19)</f>
        <v>1.5076899607366998E-2</v>
      </c>
    </row>
    <row r="26" spans="2:9">
      <c r="C26" s="25"/>
      <c r="D26" s="26"/>
    </row>
    <row r="27" spans="2:9" ht="15.75" thickBot="1"/>
    <row r="28" spans="2:9">
      <c r="C28" s="49" t="s">
        <v>68</v>
      </c>
      <c r="D28" s="50" t="s">
        <v>56</v>
      </c>
      <c r="E28" s="51" t="s">
        <v>55</v>
      </c>
    </row>
    <row r="29" spans="2:9">
      <c r="C29" s="44" t="s">
        <v>57</v>
      </c>
      <c r="D29" s="16">
        <v>13.7</v>
      </c>
      <c r="E29" s="45">
        <v>1.5800000000000002E-2</v>
      </c>
      <c r="F29" s="24" t="s">
        <v>14</v>
      </c>
    </row>
    <row r="30" spans="2:9">
      <c r="C30" s="44" t="s">
        <v>66</v>
      </c>
      <c r="D30" s="16">
        <v>0.29622999999999999</v>
      </c>
      <c r="E30" s="45">
        <v>9.2399999999999999E-3</v>
      </c>
      <c r="F30" s="24" t="s">
        <v>14</v>
      </c>
    </row>
    <row r="31" spans="2:9">
      <c r="C31" s="44" t="s">
        <v>59</v>
      </c>
      <c r="D31" s="16" t="s">
        <v>60</v>
      </c>
      <c r="E31" s="45" t="s">
        <v>61</v>
      </c>
    </row>
    <row r="32" spans="2:9" ht="15.75" thickBot="1">
      <c r="C32" s="46" t="s">
        <v>62</v>
      </c>
      <c r="D32" s="47" t="s">
        <v>63</v>
      </c>
      <c r="E32" s="48" t="s">
        <v>64</v>
      </c>
      <c r="F32" t="s">
        <v>58</v>
      </c>
    </row>
    <row r="33" spans="6:6">
      <c r="F33" t="s">
        <v>58</v>
      </c>
    </row>
    <row r="34" spans="6:6">
      <c r="F34" t="s">
        <v>58</v>
      </c>
    </row>
    <row r="35" spans="6:6">
      <c r="F35" t="s">
        <v>65</v>
      </c>
    </row>
  </sheetData>
  <mergeCells count="11">
    <mergeCell ref="C3:D3"/>
    <mergeCell ref="G20:H20"/>
    <mergeCell ref="B16:B17"/>
    <mergeCell ref="B18:B19"/>
    <mergeCell ref="B8:B11"/>
    <mergeCell ref="B12:B15"/>
    <mergeCell ref="F6:I6"/>
    <mergeCell ref="B6:B7"/>
    <mergeCell ref="C6:C7"/>
    <mergeCell ref="D6:D7"/>
    <mergeCell ref="E6:E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A299A-B247-4775-9640-669CE1D8F86D}">
  <dimension ref="B1:N19"/>
  <sheetViews>
    <sheetView workbookViewId="0">
      <selection activeCell="Q16" sqref="Q16"/>
    </sheetView>
  </sheetViews>
  <sheetFormatPr defaultRowHeight="15"/>
  <cols>
    <col min="2" max="2" width="10.28515625" bestFit="1" customWidth="1"/>
    <col min="6" max="6" width="50.7109375" bestFit="1" customWidth="1"/>
    <col min="7" max="11" width="9.140625" customWidth="1"/>
    <col min="13" max="14" width="9.140625" customWidth="1"/>
    <col min="17" max="17" width="9.140625" customWidth="1"/>
  </cols>
  <sheetData>
    <row r="1" spans="2:14" ht="15.75" thickBot="1"/>
    <row r="2" spans="2:14">
      <c r="B2" s="109" t="s">
        <v>50</v>
      </c>
      <c r="C2" s="110"/>
      <c r="E2" s="105" t="s">
        <v>2</v>
      </c>
      <c r="F2" s="106" t="s">
        <v>3</v>
      </c>
      <c r="G2" s="106" t="s">
        <v>4</v>
      </c>
      <c r="H2" s="108" t="s">
        <v>5</v>
      </c>
      <c r="I2" s="126" t="s">
        <v>40</v>
      </c>
      <c r="J2" s="126"/>
      <c r="K2" s="127"/>
      <c r="L2" s="131" t="s">
        <v>10</v>
      </c>
      <c r="M2" s="131"/>
      <c r="N2" s="131"/>
    </row>
    <row r="3" spans="2:14">
      <c r="B3" s="44" t="s">
        <v>39</v>
      </c>
      <c r="C3" s="56">
        <v>1</v>
      </c>
      <c r="E3" s="104"/>
      <c r="F3" s="107"/>
      <c r="G3" s="107"/>
      <c r="H3" s="107"/>
      <c r="I3" s="14" t="s">
        <v>8</v>
      </c>
      <c r="J3" s="14" t="s">
        <v>9</v>
      </c>
      <c r="K3" s="62"/>
      <c r="L3" s="132"/>
      <c r="M3" s="132"/>
      <c r="N3" s="132"/>
    </row>
    <row r="4" spans="2:14" ht="15.75">
      <c r="B4" s="44" t="s">
        <v>38</v>
      </c>
      <c r="C4" s="56">
        <v>0.75</v>
      </c>
      <c r="E4" s="103" t="s">
        <v>11</v>
      </c>
      <c r="F4" s="5" t="s">
        <v>12</v>
      </c>
      <c r="G4" s="6">
        <v>13</v>
      </c>
      <c r="H4" s="5" t="s">
        <v>13</v>
      </c>
      <c r="I4" s="3">
        <v>10.63672</v>
      </c>
      <c r="J4" s="3">
        <v>1.7170000000000001E-2</v>
      </c>
      <c r="K4" s="7" t="s">
        <v>14</v>
      </c>
      <c r="L4" s="63">
        <f xml:space="preserve"> (I4+J4*$C$9) * G4 /1000</f>
        <v>0.144906697</v>
      </c>
      <c r="M4" s="123">
        <f>SUM(L4:L7)</f>
        <v>0.159256756</v>
      </c>
      <c r="N4" s="125">
        <f>M4/$L$19</f>
        <v>1.3600987171359935</v>
      </c>
    </row>
    <row r="5" spans="2:14" ht="15.75">
      <c r="B5" s="111" t="s">
        <v>42</v>
      </c>
      <c r="C5" s="112"/>
      <c r="E5" s="121"/>
      <c r="F5" s="5" t="s">
        <v>15</v>
      </c>
      <c r="G5" s="6">
        <v>3.0000000000000001E-3</v>
      </c>
      <c r="H5" s="5" t="s">
        <v>16</v>
      </c>
      <c r="I5" s="3">
        <v>0.15732000000000002</v>
      </c>
      <c r="J5" s="3">
        <v>9.7900000000000001E-3</v>
      </c>
      <c r="K5" s="7" t="s">
        <v>17</v>
      </c>
      <c r="L5" s="8">
        <f xml:space="preserve"> (I5+J5*$C$9) * G5</f>
        <v>1.3442490000000001E-3</v>
      </c>
      <c r="M5" s="124"/>
      <c r="N5" s="124"/>
    </row>
    <row r="6" spans="2:14" ht="15.75">
      <c r="B6" s="44" t="s">
        <v>43</v>
      </c>
      <c r="C6" s="56">
        <v>0.8</v>
      </c>
      <c r="E6" s="121"/>
      <c r="F6" s="5" t="s">
        <v>18</v>
      </c>
      <c r="G6" s="6">
        <v>0.03</v>
      </c>
      <c r="H6" s="5" t="s">
        <v>19</v>
      </c>
      <c r="I6" s="3">
        <v>0.22244000000000003</v>
      </c>
      <c r="J6" s="3">
        <v>7.1000000000000002E-4</v>
      </c>
      <c r="K6" s="7" t="s">
        <v>20</v>
      </c>
      <c r="L6" s="8">
        <f xml:space="preserve"> (I6+J6*$C$9) * G6</f>
        <v>7.3058100000000003E-3</v>
      </c>
      <c r="M6" s="124"/>
      <c r="N6" s="124"/>
    </row>
    <row r="7" spans="2:14">
      <c r="B7" s="44" t="s">
        <v>38</v>
      </c>
      <c r="C7" s="56">
        <v>0.99</v>
      </c>
      <c r="E7" s="122"/>
      <c r="F7" s="1" t="s">
        <v>21</v>
      </c>
      <c r="G7" s="1">
        <v>5.7</v>
      </c>
      <c r="H7" s="1" t="s">
        <v>13</v>
      </c>
      <c r="I7" s="7" t="s">
        <v>22</v>
      </c>
      <c r="J7" s="3" t="s">
        <v>22</v>
      </c>
      <c r="K7" s="7" t="s">
        <v>22</v>
      </c>
      <c r="L7" s="20">
        <f>G7/1000</f>
        <v>5.7000000000000002E-3</v>
      </c>
      <c r="M7" s="107"/>
      <c r="N7" s="107"/>
    </row>
    <row r="8" spans="2:14" ht="15.75">
      <c r="B8" s="111" t="s">
        <v>49</v>
      </c>
      <c r="C8" s="112"/>
      <c r="E8" s="103" t="s">
        <v>23</v>
      </c>
      <c r="F8" s="5" t="s">
        <v>24</v>
      </c>
      <c r="G8" s="5">
        <v>355</v>
      </c>
      <c r="H8" s="5" t="s">
        <v>13</v>
      </c>
      <c r="I8" s="3">
        <v>9.7999999999999997E-4</v>
      </c>
      <c r="J8" s="3">
        <v>2.295366E-6</v>
      </c>
      <c r="K8" s="7" t="s">
        <v>14</v>
      </c>
      <c r="L8" s="8">
        <f t="shared" ref="L8:L18" si="0" xml:space="preserve"> (I8+J8*$C$9) * G8 /1000</f>
        <v>3.7210119142099999E-4</v>
      </c>
      <c r="M8" s="113">
        <f>SUM(L8:L11)</f>
        <v>2.7174889494251002E-2</v>
      </c>
      <c r="N8" s="114">
        <f>M8/L19</f>
        <v>0.23208140908912633</v>
      </c>
    </row>
    <row r="9" spans="2:14" ht="16.5" thickBot="1">
      <c r="B9" s="57" t="s">
        <v>51</v>
      </c>
      <c r="C9" s="58">
        <v>29.7</v>
      </c>
      <c r="E9" s="121"/>
      <c r="F9" s="5" t="s">
        <v>18</v>
      </c>
      <c r="G9" s="5">
        <v>8.9999999999999993E-3</v>
      </c>
      <c r="H9" s="5" t="s">
        <v>19</v>
      </c>
      <c r="I9" s="3">
        <v>0.22244000000000003</v>
      </c>
      <c r="J9" s="3">
        <v>7.1000000000000002E-4</v>
      </c>
      <c r="K9" s="7" t="s">
        <v>20</v>
      </c>
      <c r="L9" s="8">
        <f xml:space="preserve"> (I9+J9*$C$9) * G9</f>
        <v>2.1917429999999999E-3</v>
      </c>
      <c r="M9" s="124"/>
      <c r="N9" s="124"/>
    </row>
    <row r="10" spans="2:14" ht="15.75">
      <c r="E10" s="121"/>
      <c r="F10" s="5" t="s">
        <v>25</v>
      </c>
      <c r="G10" s="5">
        <v>20</v>
      </c>
      <c r="H10" s="5" t="s">
        <v>13</v>
      </c>
      <c r="I10" s="3">
        <v>0.51792000000000005</v>
      </c>
      <c r="J10" s="3">
        <v>1.1480000000000001E-2</v>
      </c>
      <c r="K10" s="7" t="s">
        <v>14</v>
      </c>
      <c r="L10" s="8">
        <f t="shared" si="0"/>
        <v>1.7177520000000002E-2</v>
      </c>
      <c r="M10" s="124"/>
      <c r="N10" s="124"/>
    </row>
    <row r="11" spans="2:14" ht="15.75">
      <c r="E11" s="122"/>
      <c r="F11" s="5" t="s">
        <v>26</v>
      </c>
      <c r="G11" s="5">
        <v>1.0999999999999999E-2</v>
      </c>
      <c r="H11" s="5" t="s">
        <v>27</v>
      </c>
      <c r="I11" s="8">
        <v>0.13158</v>
      </c>
      <c r="J11" s="8">
        <v>1.8323064899999998E-2</v>
      </c>
      <c r="K11" s="7" t="s">
        <v>28</v>
      </c>
      <c r="L11" s="8">
        <f xml:space="preserve"> (I11+J11*$C$9) * G11</f>
        <v>7.4335253028299988E-3</v>
      </c>
      <c r="M11" s="107"/>
      <c r="N11" s="107"/>
    </row>
    <row r="12" spans="2:14">
      <c r="E12" s="103" t="s">
        <v>29</v>
      </c>
      <c r="F12" s="1" t="s">
        <v>30</v>
      </c>
      <c r="G12" s="10">
        <v>1.57E-6</v>
      </c>
      <c r="H12" s="1" t="s">
        <v>31</v>
      </c>
      <c r="I12" s="3">
        <v>191.53816</v>
      </c>
      <c r="J12" s="3">
        <v>0.94328000000000001</v>
      </c>
      <c r="K12" s="7" t="s">
        <v>32</v>
      </c>
      <c r="L12" s="8">
        <f xml:space="preserve"> (I12+J12*$C$9) * G12</f>
        <v>3.4469911431999999E-4</v>
      </c>
      <c r="M12" s="113">
        <f>SUM(L12:L13)</f>
        <v>1.9443680743199999E-3</v>
      </c>
      <c r="N12" s="114">
        <f>M12/L19</f>
        <v>1.6605465224488272E-2</v>
      </c>
    </row>
    <row r="13" spans="2:14">
      <c r="E13" s="104"/>
      <c r="F13" s="1" t="s">
        <v>33</v>
      </c>
      <c r="G13" s="1">
        <v>6.5199999999999998E-3</v>
      </c>
      <c r="H13" s="1" t="s">
        <v>19</v>
      </c>
      <c r="I13" s="3">
        <v>0.22040000000000001</v>
      </c>
      <c r="J13" s="3">
        <v>8.4000000000000003E-4</v>
      </c>
      <c r="K13" s="7" t="s">
        <v>20</v>
      </c>
      <c r="L13" s="8">
        <f xml:space="preserve"> (I13+J13*$C$9) * G13</f>
        <v>1.5996689599999999E-3</v>
      </c>
      <c r="M13" s="107"/>
      <c r="N13" s="107"/>
    </row>
    <row r="14" spans="2:14">
      <c r="E14" s="128" t="s">
        <v>34</v>
      </c>
      <c r="F14" s="9" t="s">
        <v>26</v>
      </c>
      <c r="G14" s="1">
        <v>3.8999999999999998E-3</v>
      </c>
      <c r="H14" s="1" t="s">
        <v>27</v>
      </c>
      <c r="I14" s="8">
        <v>0.13158</v>
      </c>
      <c r="J14" s="8">
        <v>1.8323064899999998E-2</v>
      </c>
      <c r="K14" s="7" t="s">
        <v>28</v>
      </c>
      <c r="L14" s="8">
        <f t="shared" si="0"/>
        <v>2.6355226073669994E-6</v>
      </c>
      <c r="M14" s="115">
        <f>SUM(L14:L18)</f>
        <v>-7.1283956945392649E-2</v>
      </c>
      <c r="N14" s="118">
        <f>M14/L19</f>
        <v>-0.6087855914496082</v>
      </c>
    </row>
    <row r="15" spans="2:14">
      <c r="E15" s="129"/>
      <c r="F15" s="9" t="s">
        <v>35</v>
      </c>
      <c r="G15" s="11">
        <f>G4*(1-C4)</f>
        <v>3.25</v>
      </c>
      <c r="H15" s="1" t="s">
        <v>13</v>
      </c>
      <c r="I15" s="3">
        <v>9.3649999999999997E-2</v>
      </c>
      <c r="J15" s="18">
        <v>2.9069999999999999E-2</v>
      </c>
      <c r="K15" s="7" t="s">
        <v>14</v>
      </c>
      <c r="L15" s="8">
        <f t="shared" si="0"/>
        <v>3.11034425E-3</v>
      </c>
      <c r="M15" s="116"/>
      <c r="N15" s="119"/>
    </row>
    <row r="16" spans="2:14">
      <c r="E16" s="129"/>
      <c r="F16" s="59" t="s">
        <v>37</v>
      </c>
      <c r="G16" s="11">
        <f>G4*C4</f>
        <v>9.75</v>
      </c>
      <c r="H16" s="1" t="s">
        <v>13</v>
      </c>
      <c r="I16" s="12">
        <v>0.29622999999999999</v>
      </c>
      <c r="J16" s="19">
        <v>9.2399999999999999E-3</v>
      </c>
      <c r="K16" s="13" t="s">
        <v>14</v>
      </c>
      <c r="L16" s="8">
        <f xml:space="preserve"> (I16+J16*$C$9) * G16 /1000</f>
        <v>5.5639155000000006E-3</v>
      </c>
      <c r="M16" s="116"/>
      <c r="N16" s="119"/>
    </row>
    <row r="17" spans="5:14">
      <c r="E17" s="129"/>
      <c r="F17" s="9" t="s">
        <v>41</v>
      </c>
      <c r="G17" s="11">
        <f>G16*C6</f>
        <v>7.8000000000000007</v>
      </c>
      <c r="H17" s="1" t="s">
        <v>13</v>
      </c>
      <c r="I17" s="3">
        <f>I10+I9+I8</f>
        <v>0.74134000000000011</v>
      </c>
      <c r="J17" s="14">
        <v>1.4300000000000001E-3</v>
      </c>
      <c r="K17" s="13" t="s">
        <v>14</v>
      </c>
      <c r="L17" s="8">
        <f t="shared" si="0"/>
        <v>6.1137258000000015E-3</v>
      </c>
      <c r="M17" s="116"/>
      <c r="N17" s="119"/>
    </row>
    <row r="18" spans="5:14" ht="15" customHeight="1">
      <c r="E18" s="130"/>
      <c r="F18" s="5" t="s">
        <v>12</v>
      </c>
      <c r="G18" s="11">
        <f>-G17*C7</f>
        <v>-7.7220000000000004</v>
      </c>
      <c r="H18" s="1" t="s">
        <v>13</v>
      </c>
      <c r="I18" s="3">
        <f>I4</f>
        <v>10.63672</v>
      </c>
      <c r="J18" s="3">
        <f>J4</f>
        <v>1.7170000000000001E-2</v>
      </c>
      <c r="K18" s="13" t="s">
        <v>14</v>
      </c>
      <c r="L18" s="8">
        <f t="shared" si="0"/>
        <v>-8.6074578018000017E-2</v>
      </c>
      <c r="M18" s="117"/>
      <c r="N18" s="120"/>
    </row>
    <row r="19" spans="5:14" ht="15.75" thickBot="1">
      <c r="E19" s="100" t="s">
        <v>36</v>
      </c>
      <c r="F19" s="101"/>
      <c r="G19" s="101"/>
      <c r="H19" s="101"/>
      <c r="I19" s="101"/>
      <c r="J19" s="101"/>
      <c r="K19" s="102"/>
      <c r="L19" s="60">
        <f>SUM(L4:L18)</f>
        <v>0.11709205662317836</v>
      </c>
      <c r="M19" s="61"/>
      <c r="N19" s="61">
        <f>SUM(N4:N18)</f>
        <v>0.99999999999999989</v>
      </c>
    </row>
  </sheetData>
  <mergeCells count="22">
    <mergeCell ref="B2:C2"/>
    <mergeCell ref="B8:C8"/>
    <mergeCell ref="M12:M13"/>
    <mergeCell ref="N12:N13"/>
    <mergeCell ref="M14:M18"/>
    <mergeCell ref="N14:N18"/>
    <mergeCell ref="E4:E7"/>
    <mergeCell ref="M4:M7"/>
    <mergeCell ref="N4:N7"/>
    <mergeCell ref="E8:E11"/>
    <mergeCell ref="M8:M11"/>
    <mergeCell ref="N8:N11"/>
    <mergeCell ref="I2:K2"/>
    <mergeCell ref="B5:C5"/>
    <mergeCell ref="E14:E18"/>
    <mergeCell ref="L2:N3"/>
    <mergeCell ref="E19:K19"/>
    <mergeCell ref="E12:E13"/>
    <mergeCell ref="E2:E3"/>
    <mergeCell ref="F2:F3"/>
    <mergeCell ref="G2:G3"/>
    <mergeCell ref="H2:H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107B7-DDD7-4293-B828-04343E3785C3}">
  <dimension ref="B1:N24"/>
  <sheetViews>
    <sheetView workbookViewId="0">
      <selection activeCell="Q19" sqref="Q19"/>
    </sheetView>
  </sheetViews>
  <sheetFormatPr defaultRowHeight="15"/>
  <cols>
    <col min="6" max="6" width="50.7109375" bestFit="1" customWidth="1"/>
    <col min="7" max="11" width="9.140625" customWidth="1"/>
    <col min="14" max="14" width="9.140625" customWidth="1"/>
  </cols>
  <sheetData>
    <row r="1" spans="2:14" ht="15.75" thickBot="1"/>
    <row r="2" spans="2:14">
      <c r="B2" s="109" t="s">
        <v>50</v>
      </c>
      <c r="C2" s="110"/>
      <c r="E2" s="149" t="s">
        <v>2</v>
      </c>
      <c r="F2" s="146" t="s">
        <v>3</v>
      </c>
      <c r="G2" s="146" t="s">
        <v>4</v>
      </c>
      <c r="H2" s="146" t="s">
        <v>5</v>
      </c>
      <c r="I2" s="126" t="s">
        <v>48</v>
      </c>
      <c r="J2" s="126"/>
      <c r="K2" s="126"/>
      <c r="L2" s="131" t="s">
        <v>10</v>
      </c>
      <c r="M2" s="131"/>
      <c r="N2" s="147" t="s">
        <v>7</v>
      </c>
    </row>
    <row r="3" spans="2:14">
      <c r="B3" s="44" t="s">
        <v>39</v>
      </c>
      <c r="C3" s="56">
        <v>1</v>
      </c>
      <c r="E3" s="136"/>
      <c r="F3" s="138"/>
      <c r="G3" s="138"/>
      <c r="H3" s="138"/>
      <c r="I3" s="19" t="s">
        <v>8</v>
      </c>
      <c r="J3" s="19" t="s">
        <v>9</v>
      </c>
      <c r="K3" s="19"/>
      <c r="L3" s="132"/>
      <c r="M3" s="132"/>
      <c r="N3" s="148"/>
    </row>
    <row r="4" spans="2:14" ht="15.75">
      <c r="B4" s="44" t="s">
        <v>38</v>
      </c>
      <c r="C4" s="56">
        <v>0.75</v>
      </c>
      <c r="E4" s="135" t="s">
        <v>11</v>
      </c>
      <c r="F4" s="64" t="s">
        <v>12</v>
      </c>
      <c r="G4" s="65">
        <v>13</v>
      </c>
      <c r="H4" s="64" t="s">
        <v>13</v>
      </c>
      <c r="I4" s="19">
        <v>10.63672</v>
      </c>
      <c r="J4" s="19">
        <v>1.7170000000000001E-2</v>
      </c>
      <c r="K4" s="66" t="s">
        <v>14</v>
      </c>
      <c r="L4" s="67">
        <f xml:space="preserve"> (I4+J4*$C$9) * G4 /1000</f>
        <v>0.144906697</v>
      </c>
      <c r="M4" s="137">
        <f>SUM(L4:L7)</f>
        <v>0.159256756</v>
      </c>
      <c r="N4" s="144">
        <f>M4/$L$16</f>
        <v>0.82039570011666019</v>
      </c>
    </row>
    <row r="5" spans="2:14" ht="15.75">
      <c r="B5" s="111" t="s">
        <v>42</v>
      </c>
      <c r="C5" s="112"/>
      <c r="E5" s="145"/>
      <c r="F5" s="64" t="s">
        <v>15</v>
      </c>
      <c r="G5" s="65">
        <v>3.0000000000000001E-3</v>
      </c>
      <c r="H5" s="64" t="s">
        <v>16</v>
      </c>
      <c r="I5" s="19">
        <v>0.15732000000000002</v>
      </c>
      <c r="J5" s="19">
        <v>9.7900000000000001E-3</v>
      </c>
      <c r="K5" s="66" t="s">
        <v>17</v>
      </c>
      <c r="L5" s="67">
        <f xml:space="preserve"> (I5+J5*$C$9) * G5</f>
        <v>1.3442490000000001E-3</v>
      </c>
      <c r="M5" s="138"/>
      <c r="N5" s="140"/>
    </row>
    <row r="6" spans="2:14" ht="15.75">
      <c r="B6" s="44" t="s">
        <v>43</v>
      </c>
      <c r="C6" s="56">
        <v>0.8</v>
      </c>
      <c r="E6" s="145"/>
      <c r="F6" s="64" t="s">
        <v>18</v>
      </c>
      <c r="G6" s="65">
        <v>0.03</v>
      </c>
      <c r="H6" s="64" t="s">
        <v>19</v>
      </c>
      <c r="I6" s="19">
        <v>0.22244000000000003</v>
      </c>
      <c r="J6" s="19">
        <v>7.1000000000000002E-4</v>
      </c>
      <c r="K6" s="66" t="s">
        <v>20</v>
      </c>
      <c r="L6" s="67">
        <f xml:space="preserve"> (I6+J6*$C$9) * G6</f>
        <v>7.3058100000000003E-3</v>
      </c>
      <c r="M6" s="138"/>
      <c r="N6" s="140"/>
    </row>
    <row r="7" spans="2:14">
      <c r="B7" s="44" t="s">
        <v>38</v>
      </c>
      <c r="C7" s="56">
        <v>0.99</v>
      </c>
      <c r="E7" s="145"/>
      <c r="F7" s="68" t="s">
        <v>21</v>
      </c>
      <c r="G7" s="68">
        <v>5.7</v>
      </c>
      <c r="H7" s="68" t="s">
        <v>13</v>
      </c>
      <c r="I7" s="66" t="s">
        <v>22</v>
      </c>
      <c r="J7" s="19" t="s">
        <v>22</v>
      </c>
      <c r="K7" s="66" t="s">
        <v>22</v>
      </c>
      <c r="L7" s="69">
        <f>G7/1000</f>
        <v>5.7000000000000002E-3</v>
      </c>
      <c r="M7" s="138"/>
      <c r="N7" s="140"/>
    </row>
    <row r="8" spans="2:14" ht="15.75">
      <c r="B8" s="111" t="s">
        <v>49</v>
      </c>
      <c r="C8" s="112"/>
      <c r="E8" s="135" t="s">
        <v>23</v>
      </c>
      <c r="F8" s="64" t="s">
        <v>24</v>
      </c>
      <c r="G8" s="64">
        <v>355</v>
      </c>
      <c r="H8" s="64" t="s">
        <v>13</v>
      </c>
      <c r="I8" s="19">
        <v>9.7999999999999997E-4</v>
      </c>
      <c r="J8" s="19">
        <v>2.295366E-6</v>
      </c>
      <c r="K8" s="66" t="s">
        <v>14</v>
      </c>
      <c r="L8" s="67">
        <f t="shared" ref="L8" si="0" xml:space="preserve"> (I8+J8*$C$9) * G8 /1000</f>
        <v>3.7210119142099999E-4</v>
      </c>
      <c r="M8" s="137">
        <f>SUM(L8:L11)</f>
        <v>2.7174889494251002E-2</v>
      </c>
      <c r="N8" s="139">
        <f>M8/L16</f>
        <v>0.13998880205891501</v>
      </c>
    </row>
    <row r="9" spans="2:14" ht="16.5" thickBot="1">
      <c r="B9" s="57" t="s">
        <v>51</v>
      </c>
      <c r="C9" s="58">
        <v>29.7</v>
      </c>
      <c r="E9" s="145"/>
      <c r="F9" s="64" t="s">
        <v>18</v>
      </c>
      <c r="G9" s="64">
        <v>8.9999999999999993E-3</v>
      </c>
      <c r="H9" s="64" t="s">
        <v>19</v>
      </c>
      <c r="I9" s="19">
        <v>0.22244000000000003</v>
      </c>
      <c r="J9" s="19">
        <v>7.1000000000000002E-4</v>
      </c>
      <c r="K9" s="66" t="s">
        <v>20</v>
      </c>
      <c r="L9" s="67">
        <f xml:space="preserve"> (I9+J9*$C$9) * G9</f>
        <v>2.1917429999999999E-3</v>
      </c>
      <c r="M9" s="138"/>
      <c r="N9" s="140"/>
    </row>
    <row r="10" spans="2:14" ht="15.75">
      <c r="E10" s="145"/>
      <c r="F10" s="64" t="s">
        <v>25</v>
      </c>
      <c r="G10" s="64">
        <v>20</v>
      </c>
      <c r="H10" s="64" t="s">
        <v>13</v>
      </c>
      <c r="I10" s="19">
        <v>0.51792000000000005</v>
      </c>
      <c r="J10" s="19">
        <v>1.1480000000000001E-2</v>
      </c>
      <c r="K10" s="66" t="s">
        <v>14</v>
      </c>
      <c r="L10" s="67">
        <f xml:space="preserve"> (I10+J10*$C$9) * G10 /1000</f>
        <v>1.7177520000000002E-2</v>
      </c>
      <c r="M10" s="138"/>
      <c r="N10" s="140"/>
    </row>
    <row r="11" spans="2:14" ht="15.75" customHeight="1">
      <c r="E11" s="145"/>
      <c r="F11" s="64" t="s">
        <v>26</v>
      </c>
      <c r="G11" s="64">
        <v>1.0999999999999999E-2</v>
      </c>
      <c r="H11" s="64" t="s">
        <v>27</v>
      </c>
      <c r="I11" s="67">
        <v>0.13158</v>
      </c>
      <c r="J11" s="67">
        <v>1.8323064899999998E-2</v>
      </c>
      <c r="K11" s="66" t="s">
        <v>28</v>
      </c>
      <c r="L11" s="67">
        <f xml:space="preserve"> (I11+J11*$C$9) * G11</f>
        <v>7.4335253028299988E-3</v>
      </c>
      <c r="M11" s="138"/>
      <c r="N11" s="140"/>
    </row>
    <row r="12" spans="2:14">
      <c r="E12" s="135" t="s">
        <v>29</v>
      </c>
      <c r="F12" s="68" t="s">
        <v>30</v>
      </c>
      <c r="G12" s="70">
        <v>1.57E-6</v>
      </c>
      <c r="H12" s="68" t="s">
        <v>31</v>
      </c>
      <c r="I12" s="19">
        <v>191.53816</v>
      </c>
      <c r="J12" s="19">
        <v>0.94328000000000001</v>
      </c>
      <c r="K12" s="66" t="s">
        <v>32</v>
      </c>
      <c r="L12" s="67">
        <f xml:space="preserve"> (I12+J12*$C$9) * G12</f>
        <v>3.4469911431999999E-4</v>
      </c>
      <c r="M12" s="137">
        <f>SUM(L12:L13)</f>
        <v>1.9443680743199999E-3</v>
      </c>
      <c r="N12" s="139">
        <f>M12/L16</f>
        <v>1.0016223158634719E-2</v>
      </c>
    </row>
    <row r="13" spans="2:14">
      <c r="E13" s="136"/>
      <c r="F13" s="68" t="s">
        <v>33</v>
      </c>
      <c r="G13" s="68">
        <v>6.5199999999999998E-3</v>
      </c>
      <c r="H13" s="68" t="s">
        <v>19</v>
      </c>
      <c r="I13" s="19">
        <v>0.22040000000000001</v>
      </c>
      <c r="J13" s="19">
        <v>8.4000000000000003E-4</v>
      </c>
      <c r="K13" s="66" t="s">
        <v>20</v>
      </c>
      <c r="L13" s="67">
        <f xml:space="preserve"> (I13+J13*$C$9) * G13</f>
        <v>1.5996689599999999E-3</v>
      </c>
      <c r="M13" s="138"/>
      <c r="N13" s="140"/>
    </row>
    <row r="14" spans="2:14">
      <c r="E14" s="135" t="s">
        <v>34</v>
      </c>
      <c r="F14" s="71" t="s">
        <v>26</v>
      </c>
      <c r="G14" s="68">
        <v>3.8999999999999998E-3</v>
      </c>
      <c r="H14" s="68" t="s">
        <v>27</v>
      </c>
      <c r="I14" s="67">
        <v>0.13158</v>
      </c>
      <c r="J14" s="67">
        <v>1.8323064899999998E-2</v>
      </c>
      <c r="K14" s="66" t="s">
        <v>28</v>
      </c>
      <c r="L14" s="67">
        <f xml:space="preserve"> (I14+J14*$C$9) * G14</f>
        <v>2.6355226073669995E-3</v>
      </c>
      <c r="M14" s="141">
        <f>SUM(L14:L15)</f>
        <v>5.7458668573669991E-3</v>
      </c>
      <c r="N14" s="142">
        <f>M14/L16</f>
        <v>2.9599274665790085E-2</v>
      </c>
    </row>
    <row r="15" spans="2:14">
      <c r="E15" s="135"/>
      <c r="F15" s="71" t="s">
        <v>35</v>
      </c>
      <c r="G15" s="72">
        <f>G4*(1-C4)</f>
        <v>3.25</v>
      </c>
      <c r="H15" s="68" t="s">
        <v>13</v>
      </c>
      <c r="I15" s="19">
        <v>9.3649999999999997E-2</v>
      </c>
      <c r="J15" s="19">
        <v>2.9069999999999999E-2</v>
      </c>
      <c r="K15" s="66" t="s">
        <v>14</v>
      </c>
      <c r="L15" s="67">
        <f xml:space="preserve"> (I15+J15*$C$9) * G15 /1000</f>
        <v>3.11034425E-3</v>
      </c>
      <c r="M15" s="141"/>
      <c r="N15" s="142"/>
    </row>
    <row r="16" spans="2:14" ht="15.75" thickBot="1">
      <c r="E16" s="133" t="s">
        <v>36</v>
      </c>
      <c r="F16" s="134"/>
      <c r="G16" s="134"/>
      <c r="H16" s="134"/>
      <c r="I16" s="134"/>
      <c r="J16" s="134"/>
      <c r="K16" s="134"/>
      <c r="L16" s="143">
        <f>SUM(L4:L15)</f>
        <v>0.194121880425938</v>
      </c>
      <c r="M16" s="143"/>
      <c r="N16" s="73">
        <f>SUM(N4:N15)</f>
        <v>1</v>
      </c>
    </row>
    <row r="22" spans="11:11">
      <c r="K22" s="21"/>
    </row>
    <row r="24" spans="11:11">
      <c r="K24" s="21"/>
    </row>
  </sheetData>
  <mergeCells count="24">
    <mergeCell ref="B2:C2"/>
    <mergeCell ref="B5:C5"/>
    <mergeCell ref="B8:C8"/>
    <mergeCell ref="E2:E3"/>
    <mergeCell ref="F2:F3"/>
    <mergeCell ref="N4:N7"/>
    <mergeCell ref="E8:E11"/>
    <mergeCell ref="M8:M11"/>
    <mergeCell ref="N8:N11"/>
    <mergeCell ref="I2:K2"/>
    <mergeCell ref="G2:G3"/>
    <mergeCell ref="H2:H3"/>
    <mergeCell ref="E4:E7"/>
    <mergeCell ref="M4:M7"/>
    <mergeCell ref="L2:M3"/>
    <mergeCell ref="N2:N3"/>
    <mergeCell ref="E16:K16"/>
    <mergeCell ref="E12:E13"/>
    <mergeCell ref="M12:M13"/>
    <mergeCell ref="N12:N13"/>
    <mergeCell ref="E14:E15"/>
    <mergeCell ref="M14:M15"/>
    <mergeCell ref="N14:N15"/>
    <mergeCell ref="L16:M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91E7D-AD10-4C1B-8EBC-3BF75207482D}">
  <dimension ref="B1:N19"/>
  <sheetViews>
    <sheetView workbookViewId="0">
      <selection activeCell="G15" sqref="G15"/>
    </sheetView>
  </sheetViews>
  <sheetFormatPr defaultRowHeight="15"/>
  <cols>
    <col min="2" max="2" width="10.28515625" bestFit="1" customWidth="1"/>
    <col min="6" max="6" width="50.7109375" bestFit="1" customWidth="1"/>
  </cols>
  <sheetData>
    <row r="1" spans="2:14" ht="15.75" thickBot="1"/>
    <row r="2" spans="2:14">
      <c r="B2" s="109" t="s">
        <v>50</v>
      </c>
      <c r="C2" s="110"/>
      <c r="E2" s="105" t="s">
        <v>2</v>
      </c>
      <c r="F2" s="106" t="s">
        <v>3</v>
      </c>
      <c r="G2" s="106" t="s">
        <v>4</v>
      </c>
      <c r="H2" s="108" t="s">
        <v>5</v>
      </c>
      <c r="I2" s="126" t="s">
        <v>40</v>
      </c>
      <c r="J2" s="126"/>
      <c r="K2" s="126"/>
      <c r="L2" s="150" t="s">
        <v>10</v>
      </c>
      <c r="M2" s="75" t="s">
        <v>6</v>
      </c>
      <c r="N2" s="76" t="s">
        <v>7</v>
      </c>
    </row>
    <row r="3" spans="2:14">
      <c r="B3" s="44" t="s">
        <v>39</v>
      </c>
      <c r="C3" s="56">
        <v>0.6</v>
      </c>
      <c r="E3" s="104"/>
      <c r="F3" s="107"/>
      <c r="G3" s="107"/>
      <c r="H3" s="107"/>
      <c r="I3" s="14" t="s">
        <v>8</v>
      </c>
      <c r="J3" s="14" t="s">
        <v>9</v>
      </c>
      <c r="K3" s="14"/>
      <c r="L3" s="151"/>
      <c r="M3" s="4"/>
      <c r="N3" s="77"/>
    </row>
    <row r="4" spans="2:14" ht="15.75">
      <c r="B4" s="44" t="s">
        <v>38</v>
      </c>
      <c r="C4" s="56">
        <v>0.75</v>
      </c>
      <c r="E4" s="103" t="s">
        <v>11</v>
      </c>
      <c r="F4" s="5" t="s">
        <v>12</v>
      </c>
      <c r="G4" s="6">
        <v>13</v>
      </c>
      <c r="H4" s="5" t="s">
        <v>13</v>
      </c>
      <c r="I4" s="3">
        <v>10.63672</v>
      </c>
      <c r="J4" s="3">
        <v>1.7170000000000001E-2</v>
      </c>
      <c r="K4" s="7" t="s">
        <v>14</v>
      </c>
      <c r="L4" s="8">
        <f xml:space="preserve"> (I4+J4*$C$9) * G4 /1000</f>
        <v>0.144906697</v>
      </c>
      <c r="M4" s="113">
        <f>SUM(L4:L7)</f>
        <v>0.159256756</v>
      </c>
      <c r="N4" s="152">
        <f>M4/$L$19</f>
        <v>1.3600987171359935</v>
      </c>
    </row>
    <row r="5" spans="2:14" ht="15.75">
      <c r="B5" s="111" t="s">
        <v>42</v>
      </c>
      <c r="C5" s="112"/>
      <c r="E5" s="121"/>
      <c r="F5" s="5" t="s">
        <v>15</v>
      </c>
      <c r="G5" s="6">
        <v>3.0000000000000001E-3</v>
      </c>
      <c r="H5" s="5" t="s">
        <v>16</v>
      </c>
      <c r="I5" s="3">
        <v>0.15732000000000002</v>
      </c>
      <c r="J5" s="3">
        <v>9.7900000000000001E-3</v>
      </c>
      <c r="K5" s="7" t="s">
        <v>17</v>
      </c>
      <c r="L5" s="8">
        <f xml:space="preserve"> (I5+J5*$C$9) * G5</f>
        <v>1.3442490000000001E-3</v>
      </c>
      <c r="M5" s="124"/>
      <c r="N5" s="153"/>
    </row>
    <row r="6" spans="2:14" ht="15.75">
      <c r="B6" s="44" t="s">
        <v>43</v>
      </c>
      <c r="C6" s="56">
        <v>0.8</v>
      </c>
      <c r="E6" s="121"/>
      <c r="F6" s="5" t="s">
        <v>18</v>
      </c>
      <c r="G6" s="6">
        <v>0.03</v>
      </c>
      <c r="H6" s="5" t="s">
        <v>19</v>
      </c>
      <c r="I6" s="3">
        <v>0.22244000000000003</v>
      </c>
      <c r="J6" s="3">
        <v>7.1000000000000002E-4</v>
      </c>
      <c r="K6" s="7" t="s">
        <v>20</v>
      </c>
      <c r="L6" s="8">
        <f xml:space="preserve"> (I6+J6*$C$9) * G6</f>
        <v>7.3058100000000003E-3</v>
      </c>
      <c r="M6" s="124"/>
      <c r="N6" s="153"/>
    </row>
    <row r="7" spans="2:14">
      <c r="B7" s="44" t="s">
        <v>38</v>
      </c>
      <c r="C7" s="56">
        <v>0.99</v>
      </c>
      <c r="E7" s="122"/>
      <c r="F7" s="1" t="s">
        <v>21</v>
      </c>
      <c r="G7" s="1">
        <v>5.7</v>
      </c>
      <c r="H7" s="1" t="s">
        <v>13</v>
      </c>
      <c r="I7" s="7" t="s">
        <v>22</v>
      </c>
      <c r="J7" s="3" t="s">
        <v>22</v>
      </c>
      <c r="K7" s="7" t="s">
        <v>22</v>
      </c>
      <c r="L7" s="20">
        <f>G7/1000</f>
        <v>5.7000000000000002E-3</v>
      </c>
      <c r="M7" s="107"/>
      <c r="N7" s="154"/>
    </row>
    <row r="8" spans="2:14" ht="15.75">
      <c r="B8" s="111" t="s">
        <v>49</v>
      </c>
      <c r="C8" s="112"/>
      <c r="E8" s="128" t="s">
        <v>23</v>
      </c>
      <c r="F8" s="5" t="s">
        <v>24</v>
      </c>
      <c r="G8" s="5">
        <v>355</v>
      </c>
      <c r="H8" s="5" t="s">
        <v>13</v>
      </c>
      <c r="I8" s="3">
        <v>9.7999999999999997E-4</v>
      </c>
      <c r="J8" s="3">
        <v>2.295366E-6</v>
      </c>
      <c r="K8" s="7" t="s">
        <v>14</v>
      </c>
      <c r="L8" s="8">
        <f t="shared" ref="L8:L18" si="0" xml:space="preserve"> (I8+J8*$C$9) * G8 /1000</f>
        <v>3.7210119142099999E-4</v>
      </c>
      <c r="M8" s="113">
        <f>SUM(L8:L11)</f>
        <v>2.7174889494251002E-2</v>
      </c>
      <c r="N8" s="159">
        <f>M8/L19</f>
        <v>0.23208140908912633</v>
      </c>
    </row>
    <row r="9" spans="2:14" ht="16.5" thickBot="1">
      <c r="B9" s="57" t="s">
        <v>51</v>
      </c>
      <c r="C9" s="58">
        <v>29.7</v>
      </c>
      <c r="E9" s="158"/>
      <c r="F9" s="5" t="s">
        <v>18</v>
      </c>
      <c r="G9" s="5">
        <v>8.9999999999999993E-3</v>
      </c>
      <c r="H9" s="5" t="s">
        <v>19</v>
      </c>
      <c r="I9" s="3">
        <v>0.22244000000000003</v>
      </c>
      <c r="J9" s="3">
        <v>7.1000000000000002E-4</v>
      </c>
      <c r="K9" s="7" t="s">
        <v>20</v>
      </c>
      <c r="L9" s="8">
        <f xml:space="preserve"> (I9+J9*$C$9) * G9</f>
        <v>2.1917429999999999E-3</v>
      </c>
      <c r="M9" s="124"/>
      <c r="N9" s="153"/>
    </row>
    <row r="10" spans="2:14" ht="15.75">
      <c r="E10" s="158"/>
      <c r="F10" s="5" t="s">
        <v>25</v>
      </c>
      <c r="G10" s="5">
        <v>20</v>
      </c>
      <c r="H10" s="5" t="s">
        <v>13</v>
      </c>
      <c r="I10" s="3">
        <v>0.51792000000000005</v>
      </c>
      <c r="J10" s="3">
        <v>1.1480000000000001E-2</v>
      </c>
      <c r="K10" s="7" t="s">
        <v>14</v>
      </c>
      <c r="L10" s="8">
        <f t="shared" si="0"/>
        <v>1.7177520000000002E-2</v>
      </c>
      <c r="M10" s="124"/>
      <c r="N10" s="153"/>
    </row>
    <row r="11" spans="2:14" ht="15.75">
      <c r="E11" s="104"/>
      <c r="F11" s="5" t="s">
        <v>26</v>
      </c>
      <c r="G11" s="5">
        <v>1.0999999999999999E-2</v>
      </c>
      <c r="H11" s="5" t="s">
        <v>27</v>
      </c>
      <c r="I11" s="8">
        <v>0.13158</v>
      </c>
      <c r="J11" s="8">
        <v>1.8323064899999998E-2</v>
      </c>
      <c r="K11" s="7" t="s">
        <v>28</v>
      </c>
      <c r="L11" s="8">
        <f xml:space="preserve"> (I11+J11*$C$9) * G11</f>
        <v>7.4335253028299988E-3</v>
      </c>
      <c r="M11" s="107"/>
      <c r="N11" s="154"/>
    </row>
    <row r="12" spans="2:14">
      <c r="E12" s="103" t="s">
        <v>29</v>
      </c>
      <c r="F12" s="1" t="s">
        <v>30</v>
      </c>
      <c r="G12" s="10">
        <v>1.57E-6</v>
      </c>
      <c r="H12" s="1" t="s">
        <v>31</v>
      </c>
      <c r="I12" s="3">
        <v>191.53816</v>
      </c>
      <c r="J12" s="3">
        <v>0.94328000000000001</v>
      </c>
      <c r="K12" s="7" t="s">
        <v>32</v>
      </c>
      <c r="L12" s="8">
        <f xml:space="preserve"> (I12+J12*$C$9) * G12</f>
        <v>3.4469911431999999E-4</v>
      </c>
      <c r="M12" s="113">
        <f>SUM(L12:L13)</f>
        <v>1.9443680743199999E-3</v>
      </c>
      <c r="N12" s="159">
        <f>M12/L19</f>
        <v>1.6605465224488272E-2</v>
      </c>
    </row>
    <row r="13" spans="2:14">
      <c r="E13" s="104"/>
      <c r="F13" s="1" t="s">
        <v>33</v>
      </c>
      <c r="G13" s="1">
        <v>6.5199999999999998E-3</v>
      </c>
      <c r="H13" s="1" t="s">
        <v>19</v>
      </c>
      <c r="I13" s="3">
        <v>0.22040000000000001</v>
      </c>
      <c r="J13" s="3">
        <v>8.4000000000000003E-4</v>
      </c>
      <c r="K13" s="7" t="s">
        <v>20</v>
      </c>
      <c r="L13" s="8">
        <f xml:space="preserve"> (I13+J13*$C$9) * G13</f>
        <v>1.5996689599999999E-3</v>
      </c>
      <c r="M13" s="107"/>
      <c r="N13" s="154"/>
    </row>
    <row r="14" spans="2:14">
      <c r="E14" s="128" t="s">
        <v>34</v>
      </c>
      <c r="F14" s="9" t="s">
        <v>26</v>
      </c>
      <c r="G14" s="1">
        <v>3.8999999999999998E-3</v>
      </c>
      <c r="H14" s="1" t="s">
        <v>27</v>
      </c>
      <c r="I14" s="8">
        <v>0.13158</v>
      </c>
      <c r="J14" s="8">
        <v>1.8323064899999998E-2</v>
      </c>
      <c r="K14" s="7" t="s">
        <v>28</v>
      </c>
      <c r="L14" s="8">
        <f t="shared" si="0"/>
        <v>2.6355226073669994E-6</v>
      </c>
      <c r="M14" s="115">
        <f>SUM(L14:L18)</f>
        <v>-7.1283956945392649E-2</v>
      </c>
      <c r="N14" s="155">
        <f>M14/L19</f>
        <v>-0.6087855914496082</v>
      </c>
    </row>
    <row r="15" spans="2:14">
      <c r="E15" s="129"/>
      <c r="F15" s="9" t="s">
        <v>35</v>
      </c>
      <c r="G15" s="11">
        <f>G4*(1-C4)</f>
        <v>3.25</v>
      </c>
      <c r="H15" s="1" t="s">
        <v>13</v>
      </c>
      <c r="I15" s="3">
        <v>9.3649999999999997E-2</v>
      </c>
      <c r="J15" s="18">
        <v>2.9069999999999999E-2</v>
      </c>
      <c r="K15" s="7" t="s">
        <v>14</v>
      </c>
      <c r="L15" s="8">
        <f t="shared" si="0"/>
        <v>3.11034425E-3</v>
      </c>
      <c r="M15" s="116"/>
      <c r="N15" s="156"/>
    </row>
    <row r="16" spans="2:14">
      <c r="E16" s="129"/>
      <c r="F16" s="59" t="s">
        <v>37</v>
      </c>
      <c r="G16" s="11">
        <f>G4*C4</f>
        <v>9.75</v>
      </c>
      <c r="H16" s="1" t="s">
        <v>13</v>
      </c>
      <c r="I16" s="12">
        <v>0.29622999999999999</v>
      </c>
      <c r="J16" s="19">
        <v>9.2399999999999999E-3</v>
      </c>
      <c r="K16" s="13" t="s">
        <v>14</v>
      </c>
      <c r="L16" s="8">
        <f xml:space="preserve"> (I16+J16*$C$9) * G16 /1000</f>
        <v>5.5639155000000006E-3</v>
      </c>
      <c r="M16" s="116"/>
      <c r="N16" s="156"/>
    </row>
    <row r="17" spans="5:14">
      <c r="E17" s="129"/>
      <c r="F17" s="9" t="s">
        <v>41</v>
      </c>
      <c r="G17" s="11">
        <f>G16*C6</f>
        <v>7.8000000000000007</v>
      </c>
      <c r="H17" s="1" t="s">
        <v>13</v>
      </c>
      <c r="I17" s="3">
        <f>I10+I9+I8</f>
        <v>0.74134000000000011</v>
      </c>
      <c r="J17" s="14">
        <v>1.4300000000000001E-3</v>
      </c>
      <c r="K17" s="13" t="s">
        <v>14</v>
      </c>
      <c r="L17" s="8">
        <f t="shared" si="0"/>
        <v>6.1137258000000015E-3</v>
      </c>
      <c r="M17" s="116"/>
      <c r="N17" s="156"/>
    </row>
    <row r="18" spans="5:14" ht="15" customHeight="1">
      <c r="E18" s="130"/>
      <c r="F18" s="5" t="s">
        <v>12</v>
      </c>
      <c r="G18" s="11">
        <f>-G17*C7</f>
        <v>-7.7220000000000004</v>
      </c>
      <c r="H18" s="1" t="s">
        <v>13</v>
      </c>
      <c r="I18" s="3">
        <f>I4</f>
        <v>10.63672</v>
      </c>
      <c r="J18" s="3">
        <f>J4</f>
        <v>1.7170000000000001E-2</v>
      </c>
      <c r="K18" s="13" t="s">
        <v>14</v>
      </c>
      <c r="L18" s="8">
        <f t="shared" si="0"/>
        <v>-8.6074578018000017E-2</v>
      </c>
      <c r="M18" s="117"/>
      <c r="N18" s="157"/>
    </row>
    <row r="19" spans="5:14" ht="15.75" thickBot="1">
      <c r="E19" s="100" t="s">
        <v>36</v>
      </c>
      <c r="F19" s="101"/>
      <c r="G19" s="101"/>
      <c r="H19" s="101"/>
      <c r="I19" s="101"/>
      <c r="J19" s="101"/>
      <c r="K19" s="102"/>
      <c r="L19" s="60">
        <f>SUM(L4:L18)</f>
        <v>0.11709205662317836</v>
      </c>
      <c r="M19" s="61"/>
      <c r="N19" s="78">
        <f>SUM(N4:N18)</f>
        <v>0.99999999999999989</v>
      </c>
    </row>
  </sheetData>
  <mergeCells count="22">
    <mergeCell ref="E19:K19"/>
    <mergeCell ref="E8:E11"/>
    <mergeCell ref="M8:M11"/>
    <mergeCell ref="N8:N11"/>
    <mergeCell ref="E12:E13"/>
    <mergeCell ref="M12:M13"/>
    <mergeCell ref="N12:N13"/>
    <mergeCell ref="B8:C8"/>
    <mergeCell ref="I2:K2"/>
    <mergeCell ref="E14:E18"/>
    <mergeCell ref="M14:M18"/>
    <mergeCell ref="N14:N18"/>
    <mergeCell ref="L2:L3"/>
    <mergeCell ref="B5:C5"/>
    <mergeCell ref="E4:E7"/>
    <mergeCell ref="M4:M7"/>
    <mergeCell ref="N4:N7"/>
    <mergeCell ref="B2:C2"/>
    <mergeCell ref="E2:E3"/>
    <mergeCell ref="F2:F3"/>
    <mergeCell ref="G2:G3"/>
    <mergeCell ref="H2:H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7928A-F8CC-448A-A836-206F132AEEFE}">
  <dimension ref="B1:N25"/>
  <sheetViews>
    <sheetView tabSelected="1" workbookViewId="0">
      <selection activeCell="F7" sqref="F7"/>
    </sheetView>
  </sheetViews>
  <sheetFormatPr defaultRowHeight="15"/>
  <cols>
    <col min="6" max="6" width="50.7109375" bestFit="1" customWidth="1"/>
    <col min="9" max="11" width="9.140625" customWidth="1"/>
    <col min="14" max="14" width="9.140625" customWidth="1"/>
  </cols>
  <sheetData>
    <row r="1" spans="2:14" ht="15.75" thickBot="1"/>
    <row r="2" spans="2:14">
      <c r="B2" s="109" t="s">
        <v>50</v>
      </c>
      <c r="C2" s="110"/>
      <c r="E2" s="105" t="s">
        <v>2</v>
      </c>
      <c r="F2" s="106" t="s">
        <v>3</v>
      </c>
      <c r="G2" s="106" t="s">
        <v>4</v>
      </c>
      <c r="H2" s="108" t="s">
        <v>5</v>
      </c>
      <c r="I2" s="126" t="s">
        <v>48</v>
      </c>
      <c r="J2" s="126"/>
      <c r="K2" s="126"/>
      <c r="L2" s="160" t="s">
        <v>10</v>
      </c>
      <c r="M2" s="160"/>
      <c r="N2" s="161"/>
    </row>
    <row r="3" spans="2:14">
      <c r="B3" s="44" t="s">
        <v>39</v>
      </c>
      <c r="C3" s="56">
        <v>0.6</v>
      </c>
      <c r="E3" s="104"/>
      <c r="F3" s="107"/>
      <c r="G3" s="107"/>
      <c r="H3" s="107"/>
      <c r="I3" s="14" t="s">
        <v>8</v>
      </c>
      <c r="J3" s="14" t="s">
        <v>9</v>
      </c>
      <c r="K3" s="14"/>
      <c r="L3" s="162"/>
      <c r="M3" s="162"/>
      <c r="N3" s="163"/>
    </row>
    <row r="4" spans="2:14" ht="15.75" customHeight="1">
      <c r="B4" s="44" t="s">
        <v>38</v>
      </c>
      <c r="C4" s="56">
        <v>0.75</v>
      </c>
      <c r="E4" s="103" t="s">
        <v>11</v>
      </c>
      <c r="F4" s="5" t="s">
        <v>12</v>
      </c>
      <c r="G4" s="6">
        <f>13*C3</f>
        <v>7.8</v>
      </c>
      <c r="H4" s="5" t="s">
        <v>13</v>
      </c>
      <c r="I4" s="3">
        <v>10.63672</v>
      </c>
      <c r="J4" s="3">
        <v>1.7170000000000001E-2</v>
      </c>
      <c r="K4" s="7" t="s">
        <v>14</v>
      </c>
      <c r="L4" s="8">
        <f xml:space="preserve"> (I4+J4*$C$9) * G4 /1000</f>
        <v>8.6944018200000001E-2</v>
      </c>
      <c r="M4" s="115">
        <f>SUM(L4:L8)</f>
        <v>0.1053698944</v>
      </c>
      <c r="N4" s="166">
        <f>M4/$L$17</f>
        <v>0.7513807555499874</v>
      </c>
    </row>
    <row r="5" spans="2:14" ht="15.75">
      <c r="B5" s="111" t="s">
        <v>42</v>
      </c>
      <c r="C5" s="112"/>
      <c r="E5" s="164"/>
      <c r="F5" s="9" t="s">
        <v>67</v>
      </c>
      <c r="G5" s="6">
        <f>13*(1-C3)</f>
        <v>5.2</v>
      </c>
      <c r="H5" s="5" t="s">
        <v>13</v>
      </c>
      <c r="I5" s="3">
        <v>0.74134</v>
      </c>
      <c r="J5" s="3">
        <v>1.4300000000000001E-3</v>
      </c>
      <c r="K5" s="7" t="s">
        <v>14</v>
      </c>
      <c r="L5" s="8">
        <f xml:space="preserve"> (I5+J5*$C$9) * G5 /1000</f>
        <v>4.0758172000000007E-3</v>
      </c>
      <c r="M5" s="116"/>
      <c r="N5" s="167"/>
    </row>
    <row r="6" spans="2:14" ht="15.75">
      <c r="B6" s="44" t="s">
        <v>43</v>
      </c>
      <c r="C6" s="56">
        <v>0.8</v>
      </c>
      <c r="E6" s="164"/>
      <c r="F6" s="5" t="s">
        <v>15</v>
      </c>
      <c r="G6" s="6">
        <v>3.0000000000000001E-3</v>
      </c>
      <c r="H6" s="5" t="s">
        <v>16</v>
      </c>
      <c r="I6" s="3">
        <v>0.15732000000000002</v>
      </c>
      <c r="J6" s="3">
        <v>9.7900000000000001E-3</v>
      </c>
      <c r="K6" s="7" t="s">
        <v>17</v>
      </c>
      <c r="L6" s="8">
        <f xml:space="preserve"> (I6+J6*$C$9) * G6</f>
        <v>1.3442490000000001E-3</v>
      </c>
      <c r="M6" s="116"/>
      <c r="N6" s="167"/>
    </row>
    <row r="7" spans="2:14" ht="15.75">
      <c r="B7" s="44" t="s">
        <v>38</v>
      </c>
      <c r="C7" s="56">
        <v>0.99</v>
      </c>
      <c r="E7" s="164"/>
      <c r="F7" s="5" t="s">
        <v>18</v>
      </c>
      <c r="G7" s="6">
        <v>0.03</v>
      </c>
      <c r="H7" s="5" t="s">
        <v>19</v>
      </c>
      <c r="I7" s="3">
        <v>0.22244000000000003</v>
      </c>
      <c r="J7" s="3">
        <v>7.1000000000000002E-4</v>
      </c>
      <c r="K7" s="7" t="s">
        <v>20</v>
      </c>
      <c r="L7" s="8">
        <f xml:space="preserve"> (I7+J7*$C$9) * G7</f>
        <v>7.3058100000000003E-3</v>
      </c>
      <c r="M7" s="116"/>
      <c r="N7" s="167"/>
    </row>
    <row r="8" spans="2:14">
      <c r="B8" s="111" t="s">
        <v>49</v>
      </c>
      <c r="C8" s="112"/>
      <c r="E8" s="165"/>
      <c r="F8" s="1" t="s">
        <v>21</v>
      </c>
      <c r="G8" s="1">
        <v>5.7</v>
      </c>
      <c r="H8" s="1" t="s">
        <v>13</v>
      </c>
      <c r="I8" s="7" t="s">
        <v>22</v>
      </c>
      <c r="J8" s="3" t="s">
        <v>22</v>
      </c>
      <c r="K8" s="7" t="s">
        <v>22</v>
      </c>
      <c r="L8" s="20">
        <f>G8/1000</f>
        <v>5.7000000000000002E-3</v>
      </c>
      <c r="M8" s="117"/>
      <c r="N8" s="168"/>
    </row>
    <row r="9" spans="2:14" ht="16.5" thickBot="1">
      <c r="B9" s="57" t="s">
        <v>51</v>
      </c>
      <c r="C9" s="58">
        <v>29.7</v>
      </c>
      <c r="E9" s="128" t="s">
        <v>23</v>
      </c>
      <c r="F9" s="5" t="s">
        <v>24</v>
      </c>
      <c r="G9" s="5">
        <v>355</v>
      </c>
      <c r="H9" s="5" t="s">
        <v>13</v>
      </c>
      <c r="I9" s="3">
        <v>9.7999999999999997E-4</v>
      </c>
      <c r="J9" s="3">
        <v>2.295366E-6</v>
      </c>
      <c r="K9" s="7" t="s">
        <v>14</v>
      </c>
      <c r="L9" s="8">
        <f t="shared" ref="L9" si="0" xml:space="preserve"> (I9+J9*$C$9) * G9 /1000</f>
        <v>3.7210119142099999E-4</v>
      </c>
      <c r="M9" s="113">
        <f>SUM(L9:L12)</f>
        <v>2.7174889494251002E-2</v>
      </c>
      <c r="N9" s="159">
        <f>M9/L17</f>
        <v>0.193781052134923</v>
      </c>
    </row>
    <row r="10" spans="2:14" ht="15.75">
      <c r="E10" s="158"/>
      <c r="F10" s="5" t="s">
        <v>18</v>
      </c>
      <c r="G10" s="5">
        <v>8.9999999999999993E-3</v>
      </c>
      <c r="H10" s="5" t="s">
        <v>19</v>
      </c>
      <c r="I10" s="3">
        <v>0.22244000000000003</v>
      </c>
      <c r="J10" s="3">
        <v>7.1000000000000002E-4</v>
      </c>
      <c r="K10" s="7" t="s">
        <v>20</v>
      </c>
      <c r="L10" s="8">
        <f xml:space="preserve"> (I10+J10*$C$9) * G10</f>
        <v>2.1917429999999999E-3</v>
      </c>
      <c r="M10" s="124"/>
      <c r="N10" s="153"/>
    </row>
    <row r="11" spans="2:14" ht="15.75" customHeight="1">
      <c r="E11" s="158"/>
      <c r="F11" s="5" t="s">
        <v>25</v>
      </c>
      <c r="G11" s="5">
        <v>20</v>
      </c>
      <c r="H11" s="5" t="s">
        <v>13</v>
      </c>
      <c r="I11" s="3">
        <v>0.51792000000000005</v>
      </c>
      <c r="J11" s="3">
        <v>1.1480000000000001E-2</v>
      </c>
      <c r="K11" s="7" t="s">
        <v>14</v>
      </c>
      <c r="L11" s="8">
        <f xml:space="preserve"> (I11+J11*$C$9) * G11 /1000</f>
        <v>1.7177520000000002E-2</v>
      </c>
      <c r="M11" s="124"/>
      <c r="N11" s="153"/>
    </row>
    <row r="12" spans="2:14" ht="15.75">
      <c r="E12" s="104"/>
      <c r="F12" s="5" t="s">
        <v>26</v>
      </c>
      <c r="G12" s="5">
        <v>1.0999999999999999E-2</v>
      </c>
      <c r="H12" s="5" t="s">
        <v>27</v>
      </c>
      <c r="I12" s="8">
        <v>0.13158</v>
      </c>
      <c r="J12" s="8">
        <v>1.8323064899999998E-2</v>
      </c>
      <c r="K12" s="7" t="s">
        <v>28</v>
      </c>
      <c r="L12" s="8">
        <f xml:space="preserve"> (I12+J12*$C$9) * G12</f>
        <v>7.4335253028299988E-3</v>
      </c>
      <c r="M12" s="107"/>
      <c r="N12" s="154"/>
    </row>
    <row r="13" spans="2:14">
      <c r="E13" s="103" t="s">
        <v>29</v>
      </c>
      <c r="F13" s="1" t="s">
        <v>30</v>
      </c>
      <c r="G13" s="10">
        <v>1.57E-6</v>
      </c>
      <c r="H13" s="1" t="s">
        <v>31</v>
      </c>
      <c r="I13" s="3">
        <v>191.53816</v>
      </c>
      <c r="J13" s="3">
        <v>0.94328000000000001</v>
      </c>
      <c r="K13" s="7" t="s">
        <v>32</v>
      </c>
      <c r="L13" s="8">
        <f xml:space="preserve"> (I13+J13*$C$9) * G13</f>
        <v>3.4469911431999999E-4</v>
      </c>
      <c r="M13" s="113">
        <f>SUM(L13:L14)</f>
        <v>1.9443680743199999E-3</v>
      </c>
      <c r="N13" s="159">
        <f>M13/L17</f>
        <v>1.3865068016522901E-2</v>
      </c>
    </row>
    <row r="14" spans="2:14">
      <c r="E14" s="104"/>
      <c r="F14" s="1" t="s">
        <v>33</v>
      </c>
      <c r="G14" s="1">
        <v>6.5199999999999998E-3</v>
      </c>
      <c r="H14" s="1" t="s">
        <v>19</v>
      </c>
      <c r="I14" s="3">
        <v>0.22040000000000001</v>
      </c>
      <c r="J14" s="3">
        <v>8.4000000000000003E-4</v>
      </c>
      <c r="K14" s="7" t="s">
        <v>20</v>
      </c>
      <c r="L14" s="8">
        <f xml:space="preserve"> (I14+J14*$C$9) * G14</f>
        <v>1.5996689599999999E-3</v>
      </c>
      <c r="M14" s="107"/>
      <c r="N14" s="154"/>
    </row>
    <row r="15" spans="2:14">
      <c r="E15" s="103" t="s">
        <v>34</v>
      </c>
      <c r="F15" s="9" t="s">
        <v>26</v>
      </c>
      <c r="G15" s="1">
        <v>3.8999999999999998E-3</v>
      </c>
      <c r="H15" s="1" t="s">
        <v>27</v>
      </c>
      <c r="I15" s="8">
        <v>0.13158</v>
      </c>
      <c r="J15" s="8">
        <v>1.8323064899999998E-2</v>
      </c>
      <c r="K15" s="7" t="s">
        <v>28</v>
      </c>
      <c r="L15" s="8">
        <f xml:space="preserve"> (I15+J15*$C$9) * G15</f>
        <v>2.6355226073669995E-3</v>
      </c>
      <c r="M15" s="115">
        <f>SUM(L15:L16)</f>
        <v>5.7458668573669991E-3</v>
      </c>
      <c r="N15" s="155">
        <f>M15/L17</f>
        <v>4.0973124298566699E-2</v>
      </c>
    </row>
    <row r="16" spans="2:14">
      <c r="E16" s="164"/>
      <c r="F16" s="9" t="s">
        <v>35</v>
      </c>
      <c r="G16" s="11">
        <f>(G4+G5)*(1-C4)</f>
        <v>3.25</v>
      </c>
      <c r="H16" s="1" t="s">
        <v>13</v>
      </c>
      <c r="I16" s="3">
        <v>9.3649999999999997E-2</v>
      </c>
      <c r="J16" s="3">
        <v>2.9069999999999999E-2</v>
      </c>
      <c r="K16" s="7" t="s">
        <v>14</v>
      </c>
      <c r="L16" s="8">
        <f xml:space="preserve"> (I16+J16*$C$9) * G16 /1000</f>
        <v>3.11034425E-3</v>
      </c>
      <c r="M16" s="116"/>
      <c r="N16" s="156"/>
    </row>
    <row r="17" spans="5:14" ht="15.75" thickBot="1">
      <c r="E17" s="100" t="s">
        <v>36</v>
      </c>
      <c r="F17" s="101"/>
      <c r="G17" s="101"/>
      <c r="H17" s="101"/>
      <c r="I17" s="101"/>
      <c r="J17" s="101"/>
      <c r="K17" s="102"/>
      <c r="L17" s="169">
        <f>SUM(L4:L16)</f>
        <v>0.140235018825938</v>
      </c>
      <c r="M17" s="170"/>
      <c r="N17" s="74">
        <f>SUM(N4:N16)</f>
        <v>1</v>
      </c>
    </row>
    <row r="23" spans="5:14">
      <c r="K23" s="21"/>
    </row>
    <row r="25" spans="5:14">
      <c r="K25" s="21"/>
    </row>
  </sheetData>
  <mergeCells count="23">
    <mergeCell ref="E17:K17"/>
    <mergeCell ref="E4:E8"/>
    <mergeCell ref="M4:M8"/>
    <mergeCell ref="N4:N8"/>
    <mergeCell ref="E13:E14"/>
    <mergeCell ref="M13:M14"/>
    <mergeCell ref="N13:N14"/>
    <mergeCell ref="E15:E16"/>
    <mergeCell ref="M15:M16"/>
    <mergeCell ref="N15:N16"/>
    <mergeCell ref="N9:N12"/>
    <mergeCell ref="L17:M17"/>
    <mergeCell ref="B5:C5"/>
    <mergeCell ref="B8:C8"/>
    <mergeCell ref="E9:E12"/>
    <mergeCell ref="M9:M12"/>
    <mergeCell ref="B2:C2"/>
    <mergeCell ref="E2:E3"/>
    <mergeCell ref="F2:F3"/>
    <mergeCell ref="G2:G3"/>
    <mergeCell ref="H2:H3"/>
    <mergeCell ref="I2:K2"/>
    <mergeCell ref="L2:N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32482-8B60-4228-80E7-07D4FEAD5BAB}">
  <dimension ref="B2:H20"/>
  <sheetViews>
    <sheetView workbookViewId="0">
      <selection activeCell="E24" sqref="E24"/>
    </sheetView>
  </sheetViews>
  <sheetFormatPr defaultRowHeight="15"/>
  <cols>
    <col min="2" max="2" width="17" bestFit="1" customWidth="1"/>
    <col min="3" max="3" width="8" customWidth="1"/>
  </cols>
  <sheetData>
    <row r="2" spans="2:8" ht="15.75" thickBot="1"/>
    <row r="3" spans="2:8">
      <c r="B3" s="79"/>
      <c r="C3" s="43"/>
      <c r="D3" s="171" t="s">
        <v>46</v>
      </c>
      <c r="E3" s="171"/>
      <c r="F3" s="171"/>
      <c r="G3" s="171"/>
      <c r="H3" s="172"/>
    </row>
    <row r="4" spans="2:8">
      <c r="B4" s="44"/>
      <c r="C4" s="15" t="s">
        <v>52</v>
      </c>
      <c r="D4" s="15" t="s">
        <v>44</v>
      </c>
      <c r="E4" s="15" t="s">
        <v>45</v>
      </c>
      <c r="F4" s="15"/>
      <c r="G4" s="15" t="s">
        <v>44</v>
      </c>
      <c r="H4" s="80" t="s">
        <v>45</v>
      </c>
    </row>
    <row r="5" spans="2:8">
      <c r="B5" s="32" t="s">
        <v>11</v>
      </c>
      <c r="C5" s="22">
        <f>'Results from TP1 and data'!D22</f>
        <v>0.159256756</v>
      </c>
      <c r="D5" s="16">
        <f>'Q1-EOLR'!M4</f>
        <v>0.159256756</v>
      </c>
      <c r="E5" s="16">
        <f>'Q1-RC'!M4</f>
        <v>0.159256756</v>
      </c>
      <c r="F5" s="17">
        <f>C5/(MAX($C$9:$E$9))</f>
        <v>0.78276960262683037</v>
      </c>
      <c r="G5" s="17">
        <f>D5/(MAX($C$9:$E$9))</f>
        <v>0.78276960262683037</v>
      </c>
      <c r="H5" s="81">
        <f>E5/(MAX($C$9:$E$9))</f>
        <v>0.78276960262683037</v>
      </c>
    </row>
    <row r="6" spans="2:8">
      <c r="B6" s="32" t="s">
        <v>23</v>
      </c>
      <c r="C6" s="22">
        <f>'Results from TP1 and data'!D23</f>
        <v>2.7174889494251002E-2</v>
      </c>
      <c r="D6" s="16">
        <f>'Q1-EOLR'!M8</f>
        <v>2.7174889494251002E-2</v>
      </c>
      <c r="E6" s="16">
        <f>'Q1-RC'!M8</f>
        <v>2.7174889494251002E-2</v>
      </c>
      <c r="F6" s="17">
        <f t="shared" ref="F6:H8" si="0">C6/(MAX($C$9:$E$9))</f>
        <v>0.13356844623183761</v>
      </c>
      <c r="G6" s="17">
        <f t="shared" si="0"/>
        <v>0.13356844623183761</v>
      </c>
      <c r="H6" s="81">
        <f t="shared" si="0"/>
        <v>0.13356844623183761</v>
      </c>
    </row>
    <row r="7" spans="2:8">
      <c r="B7" s="32" t="s">
        <v>29</v>
      </c>
      <c r="C7" s="22">
        <f>'Results from TP1 and data'!D24</f>
        <v>1.9443680743200002E-3</v>
      </c>
      <c r="D7" s="16">
        <f>'Q1-EOLR'!M12</f>
        <v>1.9443680743199999E-3</v>
      </c>
      <c r="E7" s="16">
        <f>'Q1-RC'!M12</f>
        <v>1.9443680743199999E-3</v>
      </c>
      <c r="F7" s="17">
        <f t="shared" si="0"/>
        <v>9.5568455814569134E-3</v>
      </c>
      <c r="G7" s="17">
        <f t="shared" si="0"/>
        <v>9.5568455814569134E-3</v>
      </c>
      <c r="H7" s="81">
        <f t="shared" si="0"/>
        <v>9.5568455814569134E-3</v>
      </c>
    </row>
    <row r="8" spans="2:8">
      <c r="B8" s="32" t="s">
        <v>34</v>
      </c>
      <c r="C8" s="22">
        <f>'Results from TP1 and data'!D25</f>
        <v>1.5076899607366998E-2</v>
      </c>
      <c r="D8" s="16">
        <f>'Q1-EOLR'!M14</f>
        <v>-7.1283956945392649E-2</v>
      </c>
      <c r="E8" s="16">
        <f>'Q1-RC'!M14</f>
        <v>5.7458668573669991E-3</v>
      </c>
      <c r="F8" s="17">
        <f t="shared" si="0"/>
        <v>7.4105105559875151E-2</v>
      </c>
      <c r="G8" s="17">
        <f t="shared" si="0"/>
        <v>-0.35037078522315929</v>
      </c>
      <c r="H8" s="81">
        <f t="shared" si="0"/>
        <v>2.8241752687012161E-2</v>
      </c>
    </row>
    <row r="9" spans="2:8" ht="15.75" thickBot="1">
      <c r="B9" s="82" t="s">
        <v>36</v>
      </c>
      <c r="C9" s="47">
        <f t="shared" ref="C9:H9" si="1">SUM(C5:C8)</f>
        <v>0.203452913175938</v>
      </c>
      <c r="D9" s="47">
        <f t="shared" si="1"/>
        <v>0.11709205662317836</v>
      </c>
      <c r="E9" s="47">
        <f t="shared" si="1"/>
        <v>0.194121880425938</v>
      </c>
      <c r="F9" s="83">
        <f t="shared" si="1"/>
        <v>1</v>
      </c>
      <c r="G9" s="83">
        <f t="shared" si="1"/>
        <v>0.57552410921696562</v>
      </c>
      <c r="H9" s="84">
        <f t="shared" si="1"/>
        <v>0.95413664712713697</v>
      </c>
    </row>
    <row r="13" spans="2:8" ht="15.75" thickBot="1"/>
    <row r="14" spans="2:8">
      <c r="B14" s="79"/>
      <c r="C14" s="43"/>
      <c r="D14" s="171" t="s">
        <v>47</v>
      </c>
      <c r="E14" s="171"/>
      <c r="F14" s="171"/>
      <c r="G14" s="171"/>
      <c r="H14" s="172"/>
    </row>
    <row r="15" spans="2:8">
      <c r="B15" s="44"/>
      <c r="C15" s="15" t="s">
        <v>52</v>
      </c>
      <c r="D15" s="15" t="s">
        <v>44</v>
      </c>
      <c r="E15" s="15" t="s">
        <v>45</v>
      </c>
      <c r="F15" s="15"/>
      <c r="G15" s="15" t="s">
        <v>44</v>
      </c>
      <c r="H15" s="80" t="s">
        <v>45</v>
      </c>
    </row>
    <row r="16" spans="2:8">
      <c r="B16" s="32" t="s">
        <v>11</v>
      </c>
      <c r="C16" s="22">
        <f>C5</f>
        <v>0.159256756</v>
      </c>
      <c r="D16" s="16">
        <f>'Q2-EOLR'!M4</f>
        <v>0.159256756</v>
      </c>
      <c r="E16" s="16">
        <f>'Q2-RC'!M4</f>
        <v>0.1053698944</v>
      </c>
      <c r="F16" s="17">
        <f>C16/(MAX($C$20:$E$20))</f>
        <v>0.78276960262683037</v>
      </c>
      <c r="G16" s="17">
        <f>D16/(MAX($C$20:$E$20))</f>
        <v>0.78276960262683037</v>
      </c>
      <c r="H16" s="81">
        <f>E16/(MAX($C$20:$E$20))</f>
        <v>0.51790801495616967</v>
      </c>
    </row>
    <row r="17" spans="2:8">
      <c r="B17" s="32" t="s">
        <v>23</v>
      </c>
      <c r="C17" s="22">
        <f t="shared" ref="C17:C19" si="2">C6</f>
        <v>2.7174889494251002E-2</v>
      </c>
      <c r="D17" s="16">
        <f>'Q2-EOLR'!M8</f>
        <v>2.7174889494251002E-2</v>
      </c>
      <c r="E17" s="16">
        <f>'Q2-RC'!M9</f>
        <v>2.7174889494251002E-2</v>
      </c>
      <c r="F17" s="17">
        <f>C17/(MAX($C$20:$E$20))</f>
        <v>0.13356844623183761</v>
      </c>
      <c r="G17" s="17">
        <f t="shared" ref="F17:H20" si="3">D17/(MAX($C$20:$E$20))</f>
        <v>0.13356844623183761</v>
      </c>
      <c r="H17" s="81">
        <f t="shared" si="3"/>
        <v>0.13356844623183761</v>
      </c>
    </row>
    <row r="18" spans="2:8">
      <c r="B18" s="32" t="s">
        <v>29</v>
      </c>
      <c r="C18" s="22">
        <f t="shared" si="2"/>
        <v>1.9443680743200002E-3</v>
      </c>
      <c r="D18" s="16">
        <f>'Q2-EOLR'!M12</f>
        <v>1.9443680743199999E-3</v>
      </c>
      <c r="E18" s="16">
        <f>'Q2-RC'!M13</f>
        <v>1.9443680743199999E-3</v>
      </c>
      <c r="F18" s="17">
        <f t="shared" si="3"/>
        <v>9.5568455814569134E-3</v>
      </c>
      <c r="G18" s="17">
        <f t="shared" si="3"/>
        <v>9.5568455814569134E-3</v>
      </c>
      <c r="H18" s="81">
        <f t="shared" si="3"/>
        <v>9.5568455814569134E-3</v>
      </c>
    </row>
    <row r="19" spans="2:8">
      <c r="B19" s="32" t="s">
        <v>34</v>
      </c>
      <c r="C19" s="22">
        <f t="shared" si="2"/>
        <v>1.5076899607366998E-2</v>
      </c>
      <c r="D19" s="16">
        <f>'Q2-EOLR'!M14</f>
        <v>-7.1283956945392649E-2</v>
      </c>
      <c r="E19" s="16">
        <f>'Q2-RC'!M15</f>
        <v>5.7458668573669991E-3</v>
      </c>
      <c r="F19" s="17">
        <f t="shared" si="3"/>
        <v>7.4105105559875151E-2</v>
      </c>
      <c r="G19" s="17">
        <f t="shared" si="3"/>
        <v>-0.35037078522315929</v>
      </c>
      <c r="H19" s="81">
        <f t="shared" si="3"/>
        <v>2.8241752687012161E-2</v>
      </c>
    </row>
    <row r="20" spans="2:8" ht="15.75" thickBot="1">
      <c r="B20" s="82" t="s">
        <v>36</v>
      </c>
      <c r="C20" s="47">
        <f>SUM(C16:C19)</f>
        <v>0.203452913175938</v>
      </c>
      <c r="D20" s="47">
        <f>SUM(D16:D19)</f>
        <v>0.11709205662317836</v>
      </c>
      <c r="E20" s="47">
        <f>SUM(E16:E19)</f>
        <v>0.140235018825938</v>
      </c>
      <c r="F20" s="83">
        <f>C20/(MAX($C$20:$E$20))</f>
        <v>1</v>
      </c>
      <c r="G20" s="83">
        <f t="shared" si="3"/>
        <v>0.57552410921696562</v>
      </c>
      <c r="H20" s="84">
        <f t="shared" si="3"/>
        <v>0.68927505945647638</v>
      </c>
    </row>
  </sheetData>
  <mergeCells count="2">
    <mergeCell ref="D14:H14"/>
    <mergeCell ref="D3:H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Results from TP1 and data</vt:lpstr>
      <vt:lpstr>Q1-EOLR</vt:lpstr>
      <vt:lpstr>Q1-RC</vt:lpstr>
      <vt:lpstr>Q2-EOLR</vt:lpstr>
      <vt:lpstr>Q2-RC</vt:lpstr>
      <vt:lpstr>Overview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Julien Pedneault</dc:creator>
  <cp:lastModifiedBy>Julien Pedneault</cp:lastModifiedBy>
  <dcterms:created xsi:type="dcterms:W3CDTF">2015-06-05T18:17:20Z</dcterms:created>
  <dcterms:modified xsi:type="dcterms:W3CDTF">2022-01-12T13:59:33Z</dcterms:modified>
</cp:coreProperties>
</file>