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hannes\switchdrive\01 PhD\05 Laboratory\Teaching\EE-584 Spacecraft Design and Systems Engineering\"/>
    </mc:Choice>
  </mc:AlternateContent>
  <xr:revisionPtr revIDLastSave="0" documentId="13_ncr:1_{840BFFF8-37A6-4D4A-B52F-FB34BB3B9ECA}" xr6:coauthVersionLast="47" xr6:coauthVersionMax="47" xr10:uidLastSave="{00000000-0000-0000-0000-000000000000}"/>
  <bookViews>
    <workbookView xWindow="-165" yWindow="-165" windowWidth="38730" windowHeight="21210" tabRatio="741" firstSheet="2" activeTab="4" xr2:uid="{AA9EFC7D-9FA4-A744-A3EB-8EEC7DEE988A}"/>
  </bookViews>
  <sheets>
    <sheet name="PVT WBS" sheetId="24" state="hidden" r:id="rId1"/>
    <sheet name="VESPUP WBS v1-8" sheetId="22" state="hidden" r:id="rId2"/>
    <sheet name="LEO Link Assumptions" sheetId="38" r:id="rId3"/>
    <sheet name="LEO Link Budget " sheetId="37" r:id="rId4"/>
    <sheet name="Deep Space Link Budget" sheetId="45" r:id="rId5"/>
    <sheet name="Price Table 8 CS" sheetId="6" state="hidden" r:id="rId6"/>
    <sheet name="Price Table 8 Airbus" sheetId="5" state="hidden" r:id="rId7"/>
    <sheet name="Airbus" sheetId="13" state="hidden" r:id="rId8"/>
    <sheet name="Price Table 8 AIUB" sheetId="9" state="hidden" r:id="rId9"/>
    <sheet name="AIUB" sheetId="20" state="hidden" r:id="rId10"/>
    <sheet name="Price Table 8 APCO" sheetId="14" state="hidden" r:id="rId11"/>
    <sheet name="APCO NEW" sheetId="27" state="hidden" r:id="rId12"/>
    <sheet name="APCO OLD" sheetId="19" state="hidden" r:id="rId13"/>
    <sheet name="Price Table 8 EPFL" sheetId="8" state="hidden" r:id="rId14"/>
    <sheet name="EPFL" sheetId="15" state="hidden" r:id="rId15"/>
    <sheet name="Price Table 8 OHB" sheetId="4" state="hidden" r:id="rId16"/>
    <sheet name="NEW Price Table 8 v2-1" sheetId="2" state="hidden" r:id="rId17"/>
    <sheet name="OHB NEW" sheetId="26" state="hidden" r:id="rId18"/>
    <sheet name="OHB OLD" sheetId="7" state="hidden" r:id="rId19"/>
    <sheet name="Price Table 8 RUAG" sheetId="10" state="hidden" r:id="rId20"/>
    <sheet name="RUAG" sheetId="18" state="hidden" r:id="rId21"/>
    <sheet name="Price Table 8 Syderal" sheetId="11" state="hidden" r:id="rId22"/>
    <sheet name="Syderal" sheetId="17" state="hidden" r:id="rId23"/>
  </sheets>
  <externalReferences>
    <externalReference r:id="rId24"/>
    <externalReference r:id="rId25"/>
  </externalReferences>
  <definedNames>
    <definedName name="_xlnm._FilterDatabase" localSheetId="18" hidden="1">'OHB OLD'!$A$17:$AU$17</definedName>
    <definedName name="_xlnm._FilterDatabase" localSheetId="1" hidden="1">'VESPUP WBS v1-8'!$A$8:$L$469</definedName>
    <definedName name="batt_capacity">#REF!</definedName>
    <definedName name="batt_eff">#REF!</definedName>
    <definedName name="Criticality" localSheetId="1">'[1]Reference tables'!$I$20:$I$25</definedName>
    <definedName name="eclipse">#REF!</definedName>
    <definedName name="energy">#REF!</definedName>
    <definedName name="Funding_source" localSheetId="1">'[1]Reference tables'!$D$20:$D$24</definedName>
    <definedName name="max_power">#REF!</definedName>
    <definedName name="mean">#REF!</definedName>
    <definedName name="NP_expenses" localSheetId="1">'[1]Reference tables'!$F$29:$F$33</definedName>
    <definedName name="Outsourcing" localSheetId="1">'[1]Reference tables'!$D$29:$D$34</definedName>
    <definedName name="peak">#REF!</definedName>
    <definedName name="Procurements" localSheetId="1">'[1]Reference tables'!$J$31:$J$37</definedName>
    <definedName name="Salaries" localSheetId="1">'[2]Salary matrix'!$B$4:$D$8</definedName>
    <definedName name="Strategic" localSheetId="1">'[1]Reference tables'!$F$20:$F$25</definedName>
    <definedName name="system_margin">#REF!</definedName>
    <definedName name="test">#REF!</definedName>
    <definedName name="tumbling">#REF!</definedName>
    <definedName name="Workforce" localSheetId="1">'[1]Reference tables'!$B$20:$B$32</definedName>
  </definedNames>
  <calcPr calcId="191028"/>
  <pivotCaches>
    <pivotCache cacheId="0" r:id="rId2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0" i="37" l="1"/>
  <c r="B119" i="37"/>
  <c r="B17" i="38"/>
  <c r="B96" i="45"/>
  <c r="B12" i="45"/>
  <c r="B118" i="45"/>
  <c r="B113" i="45"/>
  <c r="B111" i="45"/>
  <c r="B108" i="45"/>
  <c r="B114" i="45" s="1"/>
  <c r="B115" i="45" s="1"/>
  <c r="B93" i="45"/>
  <c r="B47" i="45"/>
  <c r="B50" i="45"/>
  <c r="B9" i="37"/>
  <c r="B72" i="45"/>
  <c r="B67" i="45"/>
  <c r="B65" i="45"/>
  <c r="B62" i="45"/>
  <c r="B68" i="45" s="1"/>
  <c r="B69" i="45" s="1"/>
  <c r="B32" i="45"/>
  <c r="B28" i="45"/>
  <c r="B26" i="45"/>
  <c r="B23" i="45"/>
  <c r="B9" i="45"/>
  <c r="B121" i="37"/>
  <c r="B94" i="37"/>
  <c r="B114" i="37"/>
  <c r="B112" i="37"/>
  <c r="B109" i="37"/>
  <c r="B75" i="37"/>
  <c r="B70" i="37"/>
  <c r="B68" i="37"/>
  <c r="B65" i="37"/>
  <c r="B23" i="37"/>
  <c r="B30" i="37"/>
  <c r="B28" i="37"/>
  <c r="B25" i="37"/>
  <c r="B50" i="37"/>
  <c r="B99" i="45" l="1"/>
  <c r="B119" i="45" s="1"/>
  <c r="B29" i="45"/>
  <c r="B30" i="45" s="1"/>
  <c r="B53" i="45"/>
  <c r="B73" i="45" s="1"/>
  <c r="B76" i="45" s="1"/>
  <c r="B15" i="45"/>
  <c r="B115" i="37"/>
  <c r="B116" i="37" s="1"/>
  <c r="B117" i="37" s="1"/>
  <c r="B71" i="37"/>
  <c r="B72" i="37" s="1"/>
  <c r="B31" i="37"/>
  <c r="B32" i="37" s="1"/>
  <c r="B34" i="37"/>
  <c r="B124" i="45" l="1"/>
  <c r="B122" i="45"/>
  <c r="B78" i="45"/>
  <c r="B33" i="45"/>
  <c r="B36" i="45" l="1"/>
  <c r="B38" i="45"/>
  <c r="B6" i="38" l="1"/>
  <c r="B5" i="38" l="1"/>
  <c r="B97" i="37" s="1"/>
  <c r="B100" i="37" s="1"/>
  <c r="B122" i="37" s="1"/>
  <c r="B127" i="37" l="1"/>
  <c r="B125" i="37"/>
  <c r="B12" i="37"/>
  <c r="B53" i="37"/>
  <c r="B56" i="37" l="1"/>
  <c r="B76" i="37" l="1"/>
  <c r="B15" i="37"/>
  <c r="B35" i="37" s="1"/>
  <c r="B79" i="37" l="1"/>
  <c r="B81" i="37"/>
  <c r="B38" i="37"/>
  <c r="I104" i="13" l="1"/>
  <c r="I28" i="27"/>
  <c r="J28" i="27"/>
  <c r="K28" i="27"/>
  <c r="L28" i="27"/>
  <c r="M28" i="27"/>
  <c r="N28" i="27"/>
  <c r="O28" i="27"/>
  <c r="P28" i="27"/>
  <c r="Q28" i="27"/>
  <c r="R28" i="27"/>
  <c r="S28" i="27"/>
  <c r="T28" i="27"/>
  <c r="U28" i="27"/>
  <c r="V28" i="27"/>
  <c r="W28" i="27"/>
  <c r="X28" i="27"/>
  <c r="Y28" i="27"/>
  <c r="Z28" i="27"/>
  <c r="AG49" i="14"/>
  <c r="AF49" i="14"/>
  <c r="AE49" i="14"/>
  <c r="AD49" i="14"/>
  <c r="AC49" i="14"/>
  <c r="AB49" i="14"/>
  <c r="AA49" i="14"/>
  <c r="Z49" i="14"/>
  <c r="Y49" i="14"/>
  <c r="X49" i="14"/>
  <c r="W49" i="14"/>
  <c r="V49" i="14"/>
  <c r="U49" i="14"/>
  <c r="T49" i="14"/>
  <c r="S49" i="14"/>
  <c r="R49" i="14"/>
  <c r="Q49" i="14"/>
  <c r="P49" i="14"/>
  <c r="O49" i="14"/>
  <c r="N49" i="14"/>
  <c r="M49" i="14"/>
  <c r="L49" i="14"/>
  <c r="K49" i="14"/>
  <c r="J49" i="14"/>
  <c r="AG48" i="14"/>
  <c r="AF48" i="14"/>
  <c r="AE48" i="14"/>
  <c r="AD48" i="14"/>
  <c r="AC48" i="14"/>
  <c r="AB48" i="14"/>
  <c r="AA48" i="14"/>
  <c r="Z48" i="14"/>
  <c r="Y48" i="14"/>
  <c r="X48" i="14"/>
  <c r="W48" i="14"/>
  <c r="V48" i="14"/>
  <c r="U48" i="14"/>
  <c r="T48" i="14"/>
  <c r="S48" i="14"/>
  <c r="R48" i="14"/>
  <c r="Q48" i="14"/>
  <c r="P48" i="14"/>
  <c r="O48" i="14"/>
  <c r="N48" i="14"/>
  <c r="M48" i="14"/>
  <c r="L48" i="14"/>
  <c r="K48" i="14"/>
  <c r="J48" i="14"/>
  <c r="AG20" i="14"/>
  <c r="AF20" i="14"/>
  <c r="AE20" i="14"/>
  <c r="AD20" i="14"/>
  <c r="AC20" i="14"/>
  <c r="AB20" i="14"/>
  <c r="AA20" i="14"/>
  <c r="Z20" i="14"/>
  <c r="Y20" i="14"/>
  <c r="X20" i="14"/>
  <c r="W20" i="14"/>
  <c r="V20" i="14"/>
  <c r="U20" i="14"/>
  <c r="T20" i="14"/>
  <c r="S20" i="14"/>
  <c r="R20" i="14"/>
  <c r="Q20" i="14"/>
  <c r="P20" i="14"/>
  <c r="O20" i="14"/>
  <c r="N20" i="14"/>
  <c r="M20" i="14"/>
  <c r="L20" i="14"/>
  <c r="K20" i="14"/>
  <c r="J20" i="14"/>
  <c r="AG19" i="14"/>
  <c r="AF19" i="14"/>
  <c r="AE19" i="14"/>
  <c r="AD19" i="14"/>
  <c r="AC19" i="14"/>
  <c r="AB19" i="14"/>
  <c r="AA19" i="14"/>
  <c r="Z19" i="14"/>
  <c r="Y19" i="14"/>
  <c r="X19" i="14"/>
  <c r="W19" i="14"/>
  <c r="V19" i="14"/>
  <c r="U19" i="14"/>
  <c r="T19" i="14"/>
  <c r="S19" i="14"/>
  <c r="R19" i="14"/>
  <c r="Q19" i="14"/>
  <c r="P19" i="14"/>
  <c r="O19" i="14"/>
  <c r="N19" i="14"/>
  <c r="M19" i="14"/>
  <c r="L19" i="14"/>
  <c r="K19" i="14"/>
  <c r="J19" i="14"/>
  <c r="AG18" i="14"/>
  <c r="AF18" i="14"/>
  <c r="AE18" i="14"/>
  <c r="AD18" i="14"/>
  <c r="AC18" i="14"/>
  <c r="AB18" i="14"/>
  <c r="AA18" i="14"/>
  <c r="Z18" i="14"/>
  <c r="Y18" i="14"/>
  <c r="X18" i="14"/>
  <c r="W18" i="14"/>
  <c r="V18" i="14"/>
  <c r="U18" i="14"/>
  <c r="T18" i="14"/>
  <c r="S18" i="14"/>
  <c r="R18" i="14"/>
  <c r="Q18" i="14"/>
  <c r="P18" i="14"/>
  <c r="O18" i="14"/>
  <c r="N18" i="14"/>
  <c r="M18" i="14"/>
  <c r="L18" i="14"/>
  <c r="K18" i="14"/>
  <c r="J18" i="14"/>
  <c r="AG16" i="14"/>
  <c r="AF16" i="14"/>
  <c r="AE16" i="14"/>
  <c r="AD16" i="14"/>
  <c r="AC16" i="14"/>
  <c r="AB16" i="14"/>
  <c r="AA16" i="14"/>
  <c r="Z16" i="14"/>
  <c r="Y16" i="14"/>
  <c r="X16" i="14"/>
  <c r="W16" i="14"/>
  <c r="V16" i="14"/>
  <c r="U16" i="14"/>
  <c r="T16" i="14"/>
  <c r="S16" i="14"/>
  <c r="R16" i="14"/>
  <c r="Q16" i="14"/>
  <c r="P16" i="14"/>
  <c r="O16" i="14"/>
  <c r="N16" i="14"/>
  <c r="M16" i="14"/>
  <c r="L16" i="14"/>
  <c r="K16" i="14"/>
  <c r="J16" i="14"/>
  <c r="AG15" i="14"/>
  <c r="AF15" i="14"/>
  <c r="AE15" i="14"/>
  <c r="AD15" i="14"/>
  <c r="AC15" i="14"/>
  <c r="AB15" i="14"/>
  <c r="AA15" i="14"/>
  <c r="Z15" i="14"/>
  <c r="Y15" i="14"/>
  <c r="X15" i="14"/>
  <c r="W15" i="14"/>
  <c r="V15" i="14"/>
  <c r="U15" i="14"/>
  <c r="T15" i="14"/>
  <c r="S15" i="14"/>
  <c r="R15" i="14"/>
  <c r="Q15" i="14"/>
  <c r="P15" i="14"/>
  <c r="O15" i="14"/>
  <c r="N15" i="14"/>
  <c r="M15" i="14"/>
  <c r="L15" i="14"/>
  <c r="K15" i="14"/>
  <c r="J15" i="14"/>
  <c r="AG14" i="14"/>
  <c r="AF14" i="14"/>
  <c r="AE14" i="14"/>
  <c r="AD14" i="14"/>
  <c r="AC14" i="14"/>
  <c r="AB14" i="14"/>
  <c r="AA14" i="14"/>
  <c r="Z14" i="14"/>
  <c r="Y14" i="14"/>
  <c r="X14" i="14"/>
  <c r="W14" i="14"/>
  <c r="V14" i="14"/>
  <c r="U14" i="14"/>
  <c r="T14" i="14"/>
  <c r="S14" i="14"/>
  <c r="R14" i="14"/>
  <c r="Q14" i="14"/>
  <c r="P14" i="14"/>
  <c r="O14" i="14"/>
  <c r="N14" i="14"/>
  <c r="M14" i="14"/>
  <c r="L14" i="14"/>
  <c r="K14" i="14"/>
  <c r="J14" i="14"/>
  <c r="AJ90" i="14"/>
  <c r="B78" i="27"/>
  <c r="B27" i="27"/>
  <c r="B47" i="27"/>
  <c r="B68" i="27"/>
  <c r="B62" i="27"/>
  <c r="B52" i="27"/>
  <c r="B57" i="27"/>
  <c r="B73" i="27"/>
  <c r="B67" i="27"/>
  <c r="B61" i="27"/>
  <c r="B56" i="27"/>
  <c r="B51" i="27"/>
  <c r="B46" i="27"/>
  <c r="B38" i="27"/>
  <c r="B32" i="27"/>
  <c r="B26" i="27"/>
  <c r="U80" i="27"/>
  <c r="T80" i="27"/>
  <c r="S75" i="27"/>
  <c r="R75" i="27"/>
  <c r="Q75" i="27"/>
  <c r="P75" i="27"/>
  <c r="Q69" i="27"/>
  <c r="P69" i="27"/>
  <c r="O69" i="27"/>
  <c r="N69" i="27"/>
  <c r="N63" i="27"/>
  <c r="M63" i="27"/>
  <c r="L63" i="27"/>
  <c r="M58" i="27"/>
  <c r="L58" i="27"/>
  <c r="K58" i="27"/>
  <c r="J53" i="27"/>
  <c r="I53" i="27"/>
  <c r="X48" i="27"/>
  <c r="W48" i="27"/>
  <c r="V48" i="27"/>
  <c r="U48" i="27"/>
  <c r="T48" i="27"/>
  <c r="S48" i="27"/>
  <c r="R48" i="27"/>
  <c r="Q48" i="27"/>
  <c r="P48" i="27"/>
  <c r="O48" i="27"/>
  <c r="N48" i="27"/>
  <c r="M48" i="27"/>
  <c r="L48" i="27"/>
  <c r="K48" i="27"/>
  <c r="J48" i="27"/>
  <c r="I48" i="27"/>
  <c r="J40" i="27"/>
  <c r="I40" i="27"/>
  <c r="Z34" i="27"/>
  <c r="Y34" i="27"/>
  <c r="X34" i="27"/>
  <c r="W34" i="27"/>
  <c r="V34" i="27"/>
  <c r="U34" i="27"/>
  <c r="T34" i="27"/>
  <c r="S34" i="27"/>
  <c r="R34" i="27"/>
  <c r="Q34" i="27"/>
  <c r="P34" i="27"/>
  <c r="O34" i="27"/>
  <c r="N34" i="27"/>
  <c r="M34" i="27"/>
  <c r="L34" i="27"/>
  <c r="K34" i="27"/>
  <c r="J34" i="27"/>
  <c r="I34" i="27"/>
  <c r="Z337" i="26"/>
  <c r="Z336" i="26"/>
  <c r="Z335" i="26"/>
  <c r="Z331" i="26"/>
  <c r="Z330" i="26"/>
  <c r="Z329" i="26"/>
  <c r="Z318" i="26"/>
  <c r="Z317" i="26"/>
  <c r="Z316" i="26"/>
  <c r="Z300" i="26"/>
  <c r="Z299" i="26"/>
  <c r="Z298" i="26"/>
  <c r="Z294" i="26"/>
  <c r="Z293" i="26"/>
  <c r="Z292" i="26"/>
  <c r="Z312" i="26"/>
  <c r="Z311" i="26"/>
  <c r="Z310" i="26"/>
  <c r="Z306" i="26"/>
  <c r="Z305" i="26"/>
  <c r="Z304" i="26"/>
  <c r="Z282" i="26"/>
  <c r="Z281" i="26"/>
  <c r="Z280" i="26"/>
  <c r="Z288" i="26"/>
  <c r="Z287" i="26"/>
  <c r="Z286" i="26"/>
  <c r="Z269" i="26"/>
  <c r="Z268" i="26"/>
  <c r="Z267" i="26"/>
  <c r="Z263" i="26"/>
  <c r="Z262" i="26"/>
  <c r="Z261" i="26"/>
  <c r="Z257" i="26"/>
  <c r="Z256" i="26"/>
  <c r="Z255" i="26"/>
  <c r="Z251" i="26"/>
  <c r="Z250" i="26"/>
  <c r="Z249" i="26"/>
  <c r="Z245" i="26"/>
  <c r="Z244" i="26"/>
  <c r="Z243" i="26"/>
  <c r="Z239" i="26"/>
  <c r="Z238" i="26"/>
  <c r="Z237" i="26"/>
  <c r="Z227" i="26"/>
  <c r="Z226" i="26"/>
  <c r="Z225" i="26"/>
  <c r="Z221" i="26"/>
  <c r="Z220" i="26"/>
  <c r="Z219" i="26"/>
  <c r="Z215" i="26"/>
  <c r="Z214" i="26"/>
  <c r="Z213" i="26"/>
  <c r="Z209" i="26"/>
  <c r="Z208" i="26"/>
  <c r="Z207" i="26"/>
  <c r="Z203" i="26"/>
  <c r="Z202" i="26"/>
  <c r="Z201" i="26"/>
  <c r="Z197" i="26"/>
  <c r="Z196" i="26"/>
  <c r="Z195" i="26"/>
  <c r="Z191" i="26"/>
  <c r="Z190" i="26"/>
  <c r="Z189" i="26"/>
  <c r="Z185" i="26"/>
  <c r="Z184" i="26"/>
  <c r="Z183" i="26"/>
  <c r="Z179" i="26"/>
  <c r="Z178" i="26"/>
  <c r="Z177" i="26"/>
  <c r="Z173" i="26"/>
  <c r="Z172" i="26"/>
  <c r="Z171" i="26"/>
  <c r="Z167" i="26"/>
  <c r="Z166" i="26"/>
  <c r="Z165" i="26"/>
  <c r="Z161" i="26"/>
  <c r="Z160" i="26"/>
  <c r="Z159" i="26"/>
  <c r="Z155" i="26"/>
  <c r="Z154" i="26"/>
  <c r="Z153" i="26"/>
  <c r="Z149" i="26"/>
  <c r="Z148" i="26"/>
  <c r="Z147" i="26"/>
  <c r="Z137" i="26"/>
  <c r="Z136" i="26"/>
  <c r="Z135" i="26"/>
  <c r="Z131" i="26"/>
  <c r="Z130" i="26"/>
  <c r="Z129" i="26"/>
  <c r="Z125" i="26"/>
  <c r="Z124" i="26"/>
  <c r="Z123" i="26"/>
  <c r="Z119" i="26"/>
  <c r="Z118" i="26"/>
  <c r="Z117" i="26"/>
  <c r="Z113" i="26"/>
  <c r="Z112" i="26"/>
  <c r="Z111" i="26"/>
  <c r="Z107" i="26"/>
  <c r="Z106" i="26"/>
  <c r="Z105" i="26"/>
  <c r="Z101" i="26"/>
  <c r="Z100" i="26"/>
  <c r="Z99" i="26"/>
  <c r="Z95" i="26"/>
  <c r="Z94" i="26"/>
  <c r="Z93" i="26"/>
  <c r="Z89" i="26"/>
  <c r="Z88" i="26"/>
  <c r="Z87" i="26"/>
  <c r="Z83" i="26"/>
  <c r="Z82" i="26"/>
  <c r="Z81" i="26"/>
  <c r="Z77" i="26"/>
  <c r="Z76" i="26"/>
  <c r="Z75" i="26"/>
  <c r="Z71" i="26"/>
  <c r="Z70" i="26"/>
  <c r="Z69" i="26"/>
  <c r="Z65" i="26"/>
  <c r="Z64" i="26"/>
  <c r="Z63" i="26"/>
  <c r="Z59" i="26"/>
  <c r="Z58" i="26"/>
  <c r="Z57" i="26"/>
  <c r="Z47" i="26"/>
  <c r="Z46" i="26"/>
  <c r="Z45" i="26"/>
  <c r="Z41" i="26"/>
  <c r="Z40" i="26"/>
  <c r="Z39" i="26"/>
  <c r="Z35" i="26"/>
  <c r="Z34" i="26"/>
  <c r="Z33" i="26"/>
  <c r="AG78" i="4"/>
  <c r="AF78" i="4"/>
  <c r="AE78" i="4"/>
  <c r="AB78" i="4"/>
  <c r="AA78" i="4"/>
  <c r="Z78" i="4"/>
  <c r="Y78" i="4"/>
  <c r="X78" i="4"/>
  <c r="W78" i="4"/>
  <c r="V78" i="4"/>
  <c r="U78" i="4"/>
  <c r="T78" i="4"/>
  <c r="S78" i="4"/>
  <c r="R78" i="4"/>
  <c r="Q78" i="4"/>
  <c r="P78" i="4"/>
  <c r="O78" i="4"/>
  <c r="N78" i="4"/>
  <c r="M78" i="4"/>
  <c r="L78" i="4"/>
  <c r="K78" i="4"/>
  <c r="J78" i="4"/>
  <c r="AG77" i="4"/>
  <c r="AF77" i="4"/>
  <c r="AE77" i="4"/>
  <c r="AD77" i="4"/>
  <c r="AC77" i="4"/>
  <c r="AB77" i="4"/>
  <c r="AA77" i="4"/>
  <c r="Z77" i="4"/>
  <c r="Y77" i="4"/>
  <c r="X77" i="4"/>
  <c r="W77" i="4"/>
  <c r="V77" i="4"/>
  <c r="U77" i="4"/>
  <c r="T77" i="4"/>
  <c r="S77" i="4"/>
  <c r="R77" i="4"/>
  <c r="Q77" i="4"/>
  <c r="P77" i="4"/>
  <c r="O77" i="4"/>
  <c r="N77" i="4"/>
  <c r="M77" i="4"/>
  <c r="L77" i="4"/>
  <c r="K77" i="4"/>
  <c r="J77" i="4"/>
  <c r="AG76" i="4"/>
  <c r="AF76" i="4"/>
  <c r="AE76" i="4"/>
  <c r="AD76" i="4"/>
  <c r="AC76" i="4"/>
  <c r="AB76" i="4"/>
  <c r="AA76" i="4"/>
  <c r="Z76" i="4"/>
  <c r="Y76" i="4"/>
  <c r="X76" i="4"/>
  <c r="W76" i="4"/>
  <c r="V76" i="4"/>
  <c r="U76" i="4"/>
  <c r="T76" i="4"/>
  <c r="S76" i="4"/>
  <c r="R76" i="4"/>
  <c r="Q76" i="4"/>
  <c r="P76" i="4"/>
  <c r="O76" i="4"/>
  <c r="N76" i="4"/>
  <c r="M76" i="4"/>
  <c r="L76" i="4"/>
  <c r="K76" i="4"/>
  <c r="J76" i="4"/>
  <c r="AG67" i="4"/>
  <c r="AF67" i="4"/>
  <c r="AE67" i="4"/>
  <c r="AD67" i="4"/>
  <c r="AC67" i="4"/>
  <c r="AB67" i="4"/>
  <c r="AA67" i="4"/>
  <c r="Z67" i="4"/>
  <c r="Y67" i="4"/>
  <c r="X67" i="4"/>
  <c r="W67" i="4"/>
  <c r="V67" i="4"/>
  <c r="U67" i="4"/>
  <c r="T67" i="4"/>
  <c r="S67" i="4"/>
  <c r="R67" i="4"/>
  <c r="Q67" i="4"/>
  <c r="P67" i="4"/>
  <c r="O67" i="4"/>
  <c r="N67" i="4"/>
  <c r="M67" i="4"/>
  <c r="L67" i="4"/>
  <c r="K67" i="4"/>
  <c r="J67" i="4"/>
  <c r="AG65" i="4"/>
  <c r="AF65" i="4"/>
  <c r="AE65" i="4"/>
  <c r="AD65" i="4"/>
  <c r="AC65" i="4"/>
  <c r="AB65" i="4"/>
  <c r="AA65" i="4"/>
  <c r="Z65" i="4"/>
  <c r="Y65" i="4"/>
  <c r="X65" i="4"/>
  <c r="W65" i="4"/>
  <c r="V65" i="4"/>
  <c r="U65" i="4"/>
  <c r="T65" i="4"/>
  <c r="S65" i="4"/>
  <c r="R65" i="4"/>
  <c r="Q65" i="4"/>
  <c r="P65" i="4"/>
  <c r="O65" i="4"/>
  <c r="N65" i="4"/>
  <c r="M65" i="4"/>
  <c r="L65" i="4"/>
  <c r="K65" i="4"/>
  <c r="J65" i="4"/>
  <c r="AG64" i="4"/>
  <c r="AF64" i="4"/>
  <c r="AE64" i="4"/>
  <c r="AD64" i="4"/>
  <c r="AC64" i="4"/>
  <c r="AB64" i="4"/>
  <c r="AA64" i="4"/>
  <c r="Z64" i="4"/>
  <c r="Y64" i="4"/>
  <c r="X64" i="4"/>
  <c r="W64" i="4"/>
  <c r="V64" i="4"/>
  <c r="U64" i="4"/>
  <c r="T64" i="4"/>
  <c r="S64" i="4"/>
  <c r="R64" i="4"/>
  <c r="Q64" i="4"/>
  <c r="P64" i="4"/>
  <c r="O64" i="4"/>
  <c r="N64" i="4"/>
  <c r="M64" i="4"/>
  <c r="L64" i="4"/>
  <c r="K64" i="4"/>
  <c r="J64" i="4"/>
  <c r="AG61" i="4"/>
  <c r="AF61" i="4"/>
  <c r="AE61" i="4"/>
  <c r="AD61" i="4"/>
  <c r="AC61" i="4"/>
  <c r="AB61" i="4"/>
  <c r="AA61" i="4"/>
  <c r="Z61" i="4"/>
  <c r="Y61" i="4"/>
  <c r="X61" i="4"/>
  <c r="W61" i="4"/>
  <c r="V61" i="4"/>
  <c r="U61" i="4"/>
  <c r="T61" i="4"/>
  <c r="S61" i="4"/>
  <c r="R61" i="4"/>
  <c r="Q61" i="4"/>
  <c r="P61" i="4"/>
  <c r="O61" i="4"/>
  <c r="N61" i="4"/>
  <c r="M61" i="4"/>
  <c r="L61" i="4"/>
  <c r="K61" i="4"/>
  <c r="J61" i="4"/>
  <c r="AG60" i="4"/>
  <c r="AF60" i="4"/>
  <c r="AE60" i="4"/>
  <c r="AD60" i="4"/>
  <c r="AC60" i="4"/>
  <c r="AB60" i="4"/>
  <c r="AA60" i="4"/>
  <c r="Z60" i="4"/>
  <c r="Y60" i="4"/>
  <c r="X60" i="4"/>
  <c r="W60" i="4"/>
  <c r="V60" i="4"/>
  <c r="U60" i="4"/>
  <c r="T60" i="4"/>
  <c r="S60" i="4"/>
  <c r="R60" i="4"/>
  <c r="Q60" i="4"/>
  <c r="P60" i="4"/>
  <c r="O60" i="4"/>
  <c r="N60" i="4"/>
  <c r="M60" i="4"/>
  <c r="L60" i="4"/>
  <c r="K60" i="4"/>
  <c r="J60" i="4"/>
  <c r="AG56" i="4"/>
  <c r="AF56" i="4"/>
  <c r="AE56" i="4"/>
  <c r="AD56" i="4"/>
  <c r="AC56" i="4"/>
  <c r="AB56" i="4"/>
  <c r="AA56" i="4"/>
  <c r="Z56" i="4"/>
  <c r="Y56" i="4"/>
  <c r="X56" i="4"/>
  <c r="W56" i="4"/>
  <c r="V56" i="4"/>
  <c r="U56" i="4"/>
  <c r="T56" i="4"/>
  <c r="S56" i="4"/>
  <c r="R56" i="4"/>
  <c r="Q56" i="4"/>
  <c r="P56" i="4"/>
  <c r="O56" i="4"/>
  <c r="N56" i="4"/>
  <c r="M56" i="4"/>
  <c r="L56" i="4"/>
  <c r="K56" i="4"/>
  <c r="J56" i="4"/>
  <c r="AG53" i="4"/>
  <c r="AF53" i="4"/>
  <c r="AE53" i="4"/>
  <c r="AD53" i="4"/>
  <c r="AC53" i="4"/>
  <c r="AB53" i="4"/>
  <c r="AA53" i="4"/>
  <c r="Z53" i="4"/>
  <c r="Y53" i="4"/>
  <c r="X53" i="4"/>
  <c r="W53" i="4"/>
  <c r="V53" i="4"/>
  <c r="U53" i="4"/>
  <c r="T53" i="4"/>
  <c r="S53" i="4"/>
  <c r="R53" i="4"/>
  <c r="Q53" i="4"/>
  <c r="P53" i="4"/>
  <c r="O53" i="4"/>
  <c r="N53" i="4"/>
  <c r="M53" i="4"/>
  <c r="L53" i="4"/>
  <c r="K53" i="4"/>
  <c r="J53" i="4"/>
  <c r="AG52" i="4"/>
  <c r="AF52" i="4"/>
  <c r="AE52" i="4"/>
  <c r="AD52" i="4"/>
  <c r="AC52" i="4"/>
  <c r="AB52" i="4"/>
  <c r="AA52" i="4"/>
  <c r="Z52" i="4"/>
  <c r="Y52" i="4"/>
  <c r="X52" i="4"/>
  <c r="W52" i="4"/>
  <c r="V52" i="4"/>
  <c r="U52" i="4"/>
  <c r="T52" i="4"/>
  <c r="S52" i="4"/>
  <c r="R52" i="4"/>
  <c r="Q52" i="4"/>
  <c r="P52" i="4"/>
  <c r="O52" i="4"/>
  <c r="N52" i="4"/>
  <c r="M52" i="4"/>
  <c r="L52" i="4"/>
  <c r="K52" i="4"/>
  <c r="J52" i="4"/>
  <c r="AG49" i="4"/>
  <c r="AF49" i="4"/>
  <c r="AE49" i="4"/>
  <c r="AD49" i="4"/>
  <c r="AC49" i="4"/>
  <c r="AB49" i="4"/>
  <c r="AA49" i="4"/>
  <c r="Z49" i="4"/>
  <c r="Y49" i="4"/>
  <c r="X49" i="4"/>
  <c r="W49" i="4"/>
  <c r="V49" i="4"/>
  <c r="U49" i="4"/>
  <c r="T49" i="4"/>
  <c r="S49" i="4"/>
  <c r="R49" i="4"/>
  <c r="O49" i="4"/>
  <c r="N49" i="4"/>
  <c r="M49" i="4"/>
  <c r="L49" i="4"/>
  <c r="K49" i="4"/>
  <c r="J49" i="4"/>
  <c r="AG45" i="4"/>
  <c r="AF45" i="4"/>
  <c r="AE45" i="4"/>
  <c r="AD45" i="4"/>
  <c r="AC45" i="4"/>
  <c r="AB45" i="4"/>
  <c r="AA45" i="4"/>
  <c r="Z45" i="4"/>
  <c r="Y45" i="4"/>
  <c r="X45" i="4"/>
  <c r="P45" i="4"/>
  <c r="M45" i="4"/>
  <c r="L45" i="4"/>
  <c r="K45" i="4"/>
  <c r="J45" i="4"/>
  <c r="AG41" i="4"/>
  <c r="AF41" i="4"/>
  <c r="AE41" i="4"/>
  <c r="AD41" i="4"/>
  <c r="AC41" i="4"/>
  <c r="AB41" i="4"/>
  <c r="AA41" i="4"/>
  <c r="Z41" i="4"/>
  <c r="Y41" i="4"/>
  <c r="X41" i="4"/>
  <c r="W41" i="4"/>
  <c r="V41" i="4"/>
  <c r="U41" i="4"/>
  <c r="T41" i="4"/>
  <c r="M41" i="4"/>
  <c r="L41" i="4"/>
  <c r="K41" i="4"/>
  <c r="J41" i="4"/>
  <c r="AG37" i="4"/>
  <c r="AF37" i="4"/>
  <c r="AE37" i="4"/>
  <c r="AD37" i="4"/>
  <c r="AC37" i="4"/>
  <c r="AB37" i="4"/>
  <c r="AA37" i="4"/>
  <c r="Z37" i="4"/>
  <c r="Y37" i="4"/>
  <c r="X37" i="4"/>
  <c r="W37" i="4"/>
  <c r="V37" i="4"/>
  <c r="U37" i="4"/>
  <c r="T37" i="4"/>
  <c r="S37" i="4"/>
  <c r="R37" i="4"/>
  <c r="Q37" i="4"/>
  <c r="P37" i="4"/>
  <c r="O37" i="4"/>
  <c r="N37" i="4"/>
  <c r="M37" i="4"/>
  <c r="L37" i="4"/>
  <c r="K37" i="4"/>
  <c r="J37" i="4"/>
  <c r="AG36" i="4"/>
  <c r="AF36" i="4"/>
  <c r="AE36" i="4"/>
  <c r="AD36" i="4"/>
  <c r="AC36" i="4"/>
  <c r="AB36" i="4"/>
  <c r="AA36" i="4"/>
  <c r="Z36" i="4"/>
  <c r="Y36" i="4"/>
  <c r="X36" i="4"/>
  <c r="W36" i="4"/>
  <c r="V36" i="4"/>
  <c r="U36" i="4"/>
  <c r="T36" i="4"/>
  <c r="S36" i="4"/>
  <c r="R36" i="4"/>
  <c r="Q36" i="4"/>
  <c r="P36" i="4"/>
  <c r="O36" i="4"/>
  <c r="N36" i="4"/>
  <c r="M36" i="4"/>
  <c r="L36" i="4"/>
  <c r="K36" i="4"/>
  <c r="J36" i="4"/>
  <c r="AG33" i="4"/>
  <c r="AF33" i="4"/>
  <c r="AE33" i="4"/>
  <c r="AD33" i="4"/>
  <c r="AC33" i="4"/>
  <c r="AB33" i="4"/>
  <c r="AA33" i="4"/>
  <c r="Z33" i="4"/>
  <c r="Y33" i="4"/>
  <c r="X33" i="4"/>
  <c r="W33" i="4"/>
  <c r="V33" i="4"/>
  <c r="U33" i="4"/>
  <c r="T33" i="4"/>
  <c r="S33" i="4"/>
  <c r="R33" i="4"/>
  <c r="Q33" i="4"/>
  <c r="P33" i="4"/>
  <c r="O33" i="4"/>
  <c r="N33" i="4"/>
  <c r="M33" i="4"/>
  <c r="L33" i="4"/>
  <c r="K33" i="4"/>
  <c r="J33" i="4"/>
  <c r="AG32" i="4"/>
  <c r="AF32" i="4"/>
  <c r="AE32" i="4"/>
  <c r="AD32" i="4"/>
  <c r="AC32" i="4"/>
  <c r="AB32" i="4"/>
  <c r="AA32" i="4"/>
  <c r="Z32" i="4"/>
  <c r="Y32" i="4"/>
  <c r="X32" i="4"/>
  <c r="W32" i="4"/>
  <c r="V32" i="4"/>
  <c r="U32" i="4"/>
  <c r="T32" i="4"/>
  <c r="S32" i="4"/>
  <c r="R32" i="4"/>
  <c r="Q32" i="4"/>
  <c r="P32" i="4"/>
  <c r="O32" i="4"/>
  <c r="N32" i="4"/>
  <c r="M32" i="4"/>
  <c r="L32" i="4"/>
  <c r="K32" i="4"/>
  <c r="J32" i="4"/>
  <c r="AG29" i="4"/>
  <c r="AF29" i="4"/>
  <c r="AE29" i="4"/>
  <c r="AD29" i="4"/>
  <c r="AC29" i="4"/>
  <c r="AB29" i="4"/>
  <c r="AA29" i="4"/>
  <c r="Z29" i="4"/>
  <c r="Y29" i="4"/>
  <c r="X29" i="4"/>
  <c r="W29" i="4"/>
  <c r="V29" i="4"/>
  <c r="U29" i="4"/>
  <c r="T29" i="4"/>
  <c r="S29" i="4"/>
  <c r="R29" i="4"/>
  <c r="Q29" i="4"/>
  <c r="P29" i="4"/>
  <c r="O29" i="4"/>
  <c r="N29" i="4"/>
  <c r="M29" i="4"/>
  <c r="L29" i="4"/>
  <c r="K29" i="4"/>
  <c r="J29" i="4"/>
  <c r="AG28" i="4"/>
  <c r="AF28" i="4"/>
  <c r="AE28" i="4"/>
  <c r="AD28" i="4"/>
  <c r="AC28" i="4"/>
  <c r="AB28" i="4"/>
  <c r="AA28" i="4"/>
  <c r="Z28" i="4"/>
  <c r="Y28" i="4"/>
  <c r="X28" i="4"/>
  <c r="W28" i="4"/>
  <c r="V28" i="4"/>
  <c r="U28" i="4"/>
  <c r="T28" i="4"/>
  <c r="S28" i="4"/>
  <c r="R28" i="4"/>
  <c r="Q28" i="4"/>
  <c r="P28" i="4"/>
  <c r="O28" i="4"/>
  <c r="N28" i="4"/>
  <c r="M28" i="4"/>
  <c r="L28" i="4"/>
  <c r="K28" i="4"/>
  <c r="J28" i="4"/>
  <c r="AG25" i="4"/>
  <c r="AF25" i="4"/>
  <c r="AE25" i="4"/>
  <c r="AD25" i="4"/>
  <c r="AC25" i="4"/>
  <c r="AB25" i="4"/>
  <c r="AA25" i="4"/>
  <c r="Z25" i="4"/>
  <c r="Y25" i="4"/>
  <c r="X25" i="4"/>
  <c r="W25" i="4"/>
  <c r="V25" i="4"/>
  <c r="U25" i="4"/>
  <c r="T25" i="4"/>
  <c r="S25" i="4"/>
  <c r="R25" i="4"/>
  <c r="Q25" i="4"/>
  <c r="P25" i="4"/>
  <c r="O25" i="4"/>
  <c r="N25" i="4"/>
  <c r="M25" i="4"/>
  <c r="L25" i="4"/>
  <c r="K25" i="4"/>
  <c r="J25" i="4"/>
  <c r="AG24" i="4"/>
  <c r="AF24" i="4"/>
  <c r="AE24" i="4"/>
  <c r="AD24" i="4"/>
  <c r="AC24" i="4"/>
  <c r="AB24" i="4"/>
  <c r="AA24" i="4"/>
  <c r="Z24" i="4"/>
  <c r="Y24" i="4"/>
  <c r="X24" i="4"/>
  <c r="W24" i="4"/>
  <c r="V24" i="4"/>
  <c r="U24" i="4"/>
  <c r="T24" i="4"/>
  <c r="S24" i="4"/>
  <c r="R24" i="4"/>
  <c r="Q24" i="4"/>
  <c r="P24" i="4"/>
  <c r="O24" i="4"/>
  <c r="N24" i="4"/>
  <c r="M24" i="4"/>
  <c r="L24" i="4"/>
  <c r="K24" i="4"/>
  <c r="J24" i="4"/>
  <c r="AG20" i="4"/>
  <c r="AF20" i="4"/>
  <c r="AE20" i="4"/>
  <c r="AD20" i="4"/>
  <c r="AC20" i="4"/>
  <c r="AB20" i="4"/>
  <c r="AA20" i="4"/>
  <c r="Z20" i="4"/>
  <c r="Y20" i="4"/>
  <c r="X20" i="4"/>
  <c r="W20" i="4"/>
  <c r="V20" i="4"/>
  <c r="U20" i="4"/>
  <c r="T20" i="4"/>
  <c r="R20" i="4"/>
  <c r="Q20" i="4"/>
  <c r="P20" i="4"/>
  <c r="O20" i="4"/>
  <c r="N20" i="4"/>
  <c r="M20" i="4"/>
  <c r="L20" i="4"/>
  <c r="K20" i="4"/>
  <c r="J20" i="4"/>
  <c r="AG18" i="4"/>
  <c r="AF18" i="4"/>
  <c r="AE18" i="4"/>
  <c r="AD18" i="4"/>
  <c r="AC18" i="4"/>
  <c r="AB18" i="4"/>
  <c r="AA18" i="4"/>
  <c r="Z18" i="4"/>
  <c r="Y18" i="4"/>
  <c r="X18" i="4"/>
  <c r="W18" i="4"/>
  <c r="V18" i="4"/>
  <c r="U18" i="4"/>
  <c r="T18" i="4"/>
  <c r="S18" i="4"/>
  <c r="R18" i="4"/>
  <c r="Q18" i="4"/>
  <c r="P18" i="4"/>
  <c r="O18" i="4"/>
  <c r="N18" i="4"/>
  <c r="M18" i="4"/>
  <c r="L18" i="4"/>
  <c r="K18" i="4"/>
  <c r="J18" i="4"/>
  <c r="I476" i="26"/>
  <c r="E476" i="26"/>
  <c r="D476" i="26"/>
  <c r="F476" i="26" s="1"/>
  <c r="K476" i="26" s="1"/>
  <c r="I470" i="26"/>
  <c r="E470" i="26"/>
  <c r="D470" i="26"/>
  <c r="F470" i="26" s="1"/>
  <c r="I463" i="26"/>
  <c r="E463" i="26"/>
  <c r="D463" i="26"/>
  <c r="K456" i="26"/>
  <c r="I456" i="26"/>
  <c r="E456" i="26"/>
  <c r="D456" i="26"/>
  <c r="K451" i="26"/>
  <c r="J451" i="26"/>
  <c r="I451" i="26"/>
  <c r="E451" i="26"/>
  <c r="D451" i="26"/>
  <c r="E445" i="26"/>
  <c r="F445" i="26" s="1"/>
  <c r="K445" i="26" s="1"/>
  <c r="D445" i="26"/>
  <c r="E437" i="26"/>
  <c r="D437" i="26"/>
  <c r="E429" i="26"/>
  <c r="D429" i="26"/>
  <c r="E422" i="26"/>
  <c r="D422" i="26"/>
  <c r="E416" i="26"/>
  <c r="D416" i="26"/>
  <c r="E411" i="26"/>
  <c r="F411" i="26"/>
  <c r="Q411" i="26" s="1"/>
  <c r="Q268" i="26" s="1"/>
  <c r="E407" i="26"/>
  <c r="D407" i="26"/>
  <c r="E398" i="26"/>
  <c r="L398" i="26" s="1"/>
  <c r="D398" i="26"/>
  <c r="E393" i="26"/>
  <c r="D393" i="26"/>
  <c r="E386" i="26"/>
  <c r="D386" i="26"/>
  <c r="BG362" i="26"/>
  <c r="BG361" i="26"/>
  <c r="BG360" i="26"/>
  <c r="BG359" i="26"/>
  <c r="K359" i="26"/>
  <c r="BG358" i="26"/>
  <c r="BG357" i="26"/>
  <c r="BG356" i="26"/>
  <c r="BG355" i="26"/>
  <c r="BG354" i="26"/>
  <c r="BG353" i="26"/>
  <c r="BG352" i="26"/>
  <c r="BG351" i="26"/>
  <c r="BG350" i="26"/>
  <c r="BG349" i="26"/>
  <c r="AC349" i="26"/>
  <c r="S349" i="26"/>
  <c r="R349" i="26"/>
  <c r="Q349" i="26"/>
  <c r="P349" i="26"/>
  <c r="O349" i="26"/>
  <c r="N349" i="26"/>
  <c r="M349" i="26"/>
  <c r="L349" i="26"/>
  <c r="K349" i="26"/>
  <c r="J349" i="26"/>
  <c r="I349" i="26"/>
  <c r="H349" i="26"/>
  <c r="BI348" i="26"/>
  <c r="AZ348" i="26"/>
  <c r="AY348" i="26"/>
  <c r="AX348" i="26"/>
  <c r="AT348" i="26"/>
  <c r="AS348" i="26"/>
  <c r="AR348" i="26"/>
  <c r="AF348" i="26"/>
  <c r="AE348" i="26"/>
  <c r="AD348" i="26"/>
  <c r="AC348" i="26"/>
  <c r="S348" i="26"/>
  <c r="R348" i="26"/>
  <c r="O348" i="26"/>
  <c r="N348" i="26"/>
  <c r="H348" i="26"/>
  <c r="AC346" i="26"/>
  <c r="S346" i="26"/>
  <c r="R346" i="26"/>
  <c r="Q346" i="26"/>
  <c r="O346" i="26"/>
  <c r="N346" i="26"/>
  <c r="M346" i="26"/>
  <c r="L346" i="26"/>
  <c r="K346" i="26"/>
  <c r="J346" i="26"/>
  <c r="I346" i="26"/>
  <c r="H346" i="26"/>
  <c r="AW343" i="26"/>
  <c r="AV343" i="26"/>
  <c r="AU343" i="26"/>
  <c r="AT343" i="26"/>
  <c r="AS343" i="26"/>
  <c r="AR343" i="26"/>
  <c r="AQ343" i="26"/>
  <c r="AP343" i="26"/>
  <c r="AO343" i="26"/>
  <c r="AN343" i="26"/>
  <c r="AM343" i="26"/>
  <c r="AL343" i="26"/>
  <c r="AK343" i="26"/>
  <c r="AJ343" i="26"/>
  <c r="AI343" i="26"/>
  <c r="AH343" i="26"/>
  <c r="AG343" i="26"/>
  <c r="AF343" i="26"/>
  <c r="AE343" i="26"/>
  <c r="AD343" i="26"/>
  <c r="AC343" i="26"/>
  <c r="S343" i="26"/>
  <c r="R343" i="26"/>
  <c r="Q343" i="26"/>
  <c r="P343" i="26"/>
  <c r="O343" i="26"/>
  <c r="N343" i="26"/>
  <c r="M343" i="26"/>
  <c r="L343" i="26"/>
  <c r="K343" i="26"/>
  <c r="J343" i="26"/>
  <c r="I343" i="26"/>
  <c r="H343" i="26"/>
  <c r="AZ342" i="26"/>
  <c r="AY342" i="26"/>
  <c r="AX342" i="26"/>
  <c r="AW342" i="26"/>
  <c r="AV342" i="26"/>
  <c r="AU342" i="26"/>
  <c r="AT342" i="26"/>
  <c r="AS342" i="26"/>
  <c r="AR342" i="26"/>
  <c r="AQ342" i="26"/>
  <c r="AP342" i="26"/>
  <c r="AO342" i="26"/>
  <c r="AN342" i="26"/>
  <c r="AM342" i="26"/>
  <c r="AL342" i="26"/>
  <c r="AK342" i="26"/>
  <c r="AJ342" i="26"/>
  <c r="AI342" i="26"/>
  <c r="AH342" i="26"/>
  <c r="AG342" i="26"/>
  <c r="AF342" i="26"/>
  <c r="AE342" i="26"/>
  <c r="AD342" i="26"/>
  <c r="AC342" i="26"/>
  <c r="S342" i="26"/>
  <c r="R342" i="26"/>
  <c r="Q342" i="26"/>
  <c r="P342" i="26"/>
  <c r="O342" i="26"/>
  <c r="N342" i="26"/>
  <c r="M342" i="26"/>
  <c r="L342" i="26"/>
  <c r="K342" i="26"/>
  <c r="J342" i="26"/>
  <c r="I342" i="26"/>
  <c r="H342" i="26"/>
  <c r="AW340" i="26"/>
  <c r="AV340" i="26"/>
  <c r="AU340" i="26"/>
  <c r="AT340" i="26"/>
  <c r="AS340" i="26"/>
  <c r="AR340" i="26"/>
  <c r="AN340" i="26"/>
  <c r="AM340" i="26"/>
  <c r="AL340" i="26"/>
  <c r="AK340" i="26"/>
  <c r="AJ340" i="26"/>
  <c r="AI340" i="26"/>
  <c r="AH340" i="26"/>
  <c r="AG340" i="26"/>
  <c r="AF340" i="26"/>
  <c r="AE340" i="26"/>
  <c r="AD340" i="26"/>
  <c r="AC340" i="26"/>
  <c r="S340" i="26"/>
  <c r="R340" i="26"/>
  <c r="Q340" i="26"/>
  <c r="P340" i="26"/>
  <c r="P341" i="26" s="1"/>
  <c r="P344" i="26" s="1"/>
  <c r="O340" i="26"/>
  <c r="N340" i="26"/>
  <c r="M340" i="26"/>
  <c r="L340" i="26"/>
  <c r="K340" i="26"/>
  <c r="J340" i="26"/>
  <c r="I340" i="26"/>
  <c r="H340" i="26"/>
  <c r="AZ337" i="26"/>
  <c r="AZ349" i="26"/>
  <c r="AY337" i="26"/>
  <c r="AX337" i="26"/>
  <c r="AZ334" i="26"/>
  <c r="AZ340" i="26" s="1"/>
  <c r="AY334" i="26"/>
  <c r="AY340" i="26" s="1"/>
  <c r="AX334" i="26"/>
  <c r="AQ328" i="26"/>
  <c r="AP328" i="26"/>
  <c r="AP340" i="26" s="1"/>
  <c r="AO328" i="26"/>
  <c r="AO340" i="26" s="1"/>
  <c r="AZ324" i="26"/>
  <c r="AY324" i="26"/>
  <c r="AX324" i="26"/>
  <c r="AW324" i="26"/>
  <c r="AV324" i="26"/>
  <c r="AU324" i="26"/>
  <c r="AT324" i="26"/>
  <c r="AS324" i="26"/>
  <c r="AR324" i="26"/>
  <c r="AQ324" i="26"/>
  <c r="AP324" i="26"/>
  <c r="AO324" i="26"/>
  <c r="AN324" i="26"/>
  <c r="AM324" i="26"/>
  <c r="AL324" i="26"/>
  <c r="AK324" i="26"/>
  <c r="AJ324" i="26"/>
  <c r="AI324" i="26"/>
  <c r="AH324" i="26"/>
  <c r="AG324" i="26"/>
  <c r="AF324" i="26"/>
  <c r="AE324" i="26"/>
  <c r="AD324" i="26"/>
  <c r="AC324" i="26"/>
  <c r="S324" i="26"/>
  <c r="R324" i="26"/>
  <c r="Q324" i="26"/>
  <c r="P324" i="26"/>
  <c r="O324" i="26"/>
  <c r="N324" i="26"/>
  <c r="M324" i="26"/>
  <c r="L324" i="26"/>
  <c r="K324" i="26"/>
  <c r="J324" i="26"/>
  <c r="I324" i="26"/>
  <c r="H324" i="26"/>
  <c r="AZ323" i="26"/>
  <c r="AY323" i="26"/>
  <c r="AX323" i="26"/>
  <c r="AU323" i="26"/>
  <c r="AT323" i="26"/>
  <c r="AS323" i="26"/>
  <c r="AR323" i="26"/>
  <c r="AQ323" i="26"/>
  <c r="AP323" i="26"/>
  <c r="AO323" i="26"/>
  <c r="AN323" i="26"/>
  <c r="AM323" i="26"/>
  <c r="AL323" i="26"/>
  <c r="AK323" i="26"/>
  <c r="AJ323" i="26"/>
  <c r="AI323" i="26"/>
  <c r="AH323" i="26"/>
  <c r="AG323" i="26"/>
  <c r="AF323" i="26"/>
  <c r="AE323" i="26"/>
  <c r="AD323" i="26"/>
  <c r="AC323" i="26"/>
  <c r="S323" i="26"/>
  <c r="R323" i="26"/>
  <c r="Q323" i="26"/>
  <c r="P323" i="26"/>
  <c r="O323" i="26"/>
  <c r="N323" i="26"/>
  <c r="M323" i="26"/>
  <c r="L323" i="26"/>
  <c r="K323" i="26"/>
  <c r="J323" i="26"/>
  <c r="I323" i="26"/>
  <c r="H323" i="26"/>
  <c r="AT321" i="26"/>
  <c r="AP321" i="26"/>
  <c r="AO321" i="26"/>
  <c r="AN321" i="26"/>
  <c r="AC321" i="26"/>
  <c r="S321" i="26"/>
  <c r="S322" i="26" s="1"/>
  <c r="R321" i="26"/>
  <c r="R322" i="26" s="1"/>
  <c r="Q321" i="26"/>
  <c r="P321" i="26"/>
  <c r="O321" i="26"/>
  <c r="N321" i="26"/>
  <c r="M321" i="26"/>
  <c r="L321" i="26"/>
  <c r="K321" i="26"/>
  <c r="K322" i="26" s="1"/>
  <c r="J321" i="26"/>
  <c r="J322" i="26" s="1"/>
  <c r="I321" i="26"/>
  <c r="H321" i="26"/>
  <c r="H322" i="26" s="1"/>
  <c r="AW315" i="26"/>
  <c r="AV315" i="26"/>
  <c r="AZ309" i="26"/>
  <c r="AZ321" i="26" s="1"/>
  <c r="AY309" i="26"/>
  <c r="AX309" i="26"/>
  <c r="AW309" i="26"/>
  <c r="AW310" i="26" s="1"/>
  <c r="AW313" i="26" s="1"/>
  <c r="AV309" i="26"/>
  <c r="AU309" i="26"/>
  <c r="AU321" i="26" s="1"/>
  <c r="AS309" i="26"/>
  <c r="AS321" i="26" s="1"/>
  <c r="AR309" i="26"/>
  <c r="AR321" i="26" s="1"/>
  <c r="AQ309" i="26"/>
  <c r="AQ321" i="26" s="1"/>
  <c r="AW299" i="26"/>
  <c r="AV299" i="26"/>
  <c r="AV323" i="26" s="1"/>
  <c r="AW297" i="26"/>
  <c r="AV297" i="26"/>
  <c r="L295" i="26"/>
  <c r="AK291" i="26"/>
  <c r="AJ291" i="26"/>
  <c r="AE285" i="26"/>
  <c r="AD285" i="26"/>
  <c r="AM279" i="26"/>
  <c r="AL279" i="26"/>
  <c r="AL321" i="26" s="1"/>
  <c r="AK279" i="26"/>
  <c r="AJ279" i="26"/>
  <c r="AI279" i="26"/>
  <c r="AI321" i="26"/>
  <c r="AH279" i="26"/>
  <c r="AG279" i="26"/>
  <c r="AF279" i="26"/>
  <c r="AF321" i="26" s="1"/>
  <c r="AE279" i="26"/>
  <c r="AZ275" i="26"/>
  <c r="AY275" i="26"/>
  <c r="AX275" i="26"/>
  <c r="AO275" i="26"/>
  <c r="AN275" i="26"/>
  <c r="AM275" i="26"/>
  <c r="AL275" i="26"/>
  <c r="AK275" i="26"/>
  <c r="AJ275" i="26"/>
  <c r="AI275" i="26"/>
  <c r="AH275" i="26"/>
  <c r="AG275" i="26"/>
  <c r="AF275" i="26"/>
  <c r="AE275" i="26"/>
  <c r="AD275" i="26"/>
  <c r="AC275" i="26"/>
  <c r="S275" i="26"/>
  <c r="R275" i="26"/>
  <c r="Q275" i="26"/>
  <c r="P275" i="26"/>
  <c r="O275" i="26"/>
  <c r="N275" i="26"/>
  <c r="M275" i="26"/>
  <c r="L275" i="26"/>
  <c r="K275" i="26"/>
  <c r="J275" i="26"/>
  <c r="I275" i="26"/>
  <c r="H275" i="26"/>
  <c r="AZ274" i="26"/>
  <c r="AY274" i="26"/>
  <c r="AX274" i="26"/>
  <c r="AT274" i="26"/>
  <c r="AS274" i="26"/>
  <c r="AR274" i="26"/>
  <c r="AO274" i="26"/>
  <c r="AN274" i="26"/>
  <c r="AM274" i="26"/>
  <c r="AK274" i="26"/>
  <c r="AH274" i="26"/>
  <c r="AG274" i="26"/>
  <c r="AF274" i="26"/>
  <c r="AE274" i="26"/>
  <c r="AD274" i="26"/>
  <c r="AC274" i="26"/>
  <c r="S274" i="26"/>
  <c r="R274" i="26"/>
  <c r="R276" i="26" s="1"/>
  <c r="O274" i="26"/>
  <c r="N274" i="26"/>
  <c r="M274" i="26"/>
  <c r="L274" i="26"/>
  <c r="K274" i="26"/>
  <c r="J274" i="26"/>
  <c r="I274" i="26"/>
  <c r="H274" i="26"/>
  <c r="AZ272" i="26"/>
  <c r="AY272" i="26"/>
  <c r="AX272" i="26"/>
  <c r="AW272" i="26"/>
  <c r="AV272" i="26"/>
  <c r="AK272" i="26"/>
  <c r="AH272" i="26"/>
  <c r="AG272" i="26"/>
  <c r="AF272" i="26"/>
  <c r="AE272" i="26"/>
  <c r="AD272" i="26"/>
  <c r="AC272" i="26"/>
  <c r="S272" i="26"/>
  <c r="R272" i="26"/>
  <c r="Q272" i="26"/>
  <c r="Q273" i="26" s="1"/>
  <c r="P272" i="26"/>
  <c r="P273" i="26" s="1"/>
  <c r="O272" i="26"/>
  <c r="N272" i="26"/>
  <c r="M272" i="26"/>
  <c r="L272" i="26"/>
  <c r="K272" i="26"/>
  <c r="J272" i="26"/>
  <c r="I272" i="26"/>
  <c r="I273" i="26" s="1"/>
  <c r="I276" i="26" s="1"/>
  <c r="H272" i="26"/>
  <c r="H273" i="26" s="1"/>
  <c r="H276" i="26" s="1"/>
  <c r="AW269" i="26"/>
  <c r="AV269" i="26"/>
  <c r="AV275" i="26" s="1"/>
  <c r="AU262" i="26"/>
  <c r="AU257" i="26"/>
  <c r="AU275" i="26" s="1"/>
  <c r="AT257" i="26"/>
  <c r="AT275" i="26"/>
  <c r="AS257" i="26"/>
  <c r="AR257" i="26"/>
  <c r="AR275" i="26" s="1"/>
  <c r="AQ257" i="26"/>
  <c r="AQ275" i="26" s="1"/>
  <c r="AP257" i="26"/>
  <c r="AP275" i="26" s="1"/>
  <c r="AQ256" i="26"/>
  <c r="AP256" i="26"/>
  <c r="AP274" i="26"/>
  <c r="AU254" i="26"/>
  <c r="AT254" i="26"/>
  <c r="AS254" i="26"/>
  <c r="AR254" i="26"/>
  <c r="AR272" i="26" s="1"/>
  <c r="AQ254" i="26"/>
  <c r="AQ272" i="26"/>
  <c r="AP254" i="26"/>
  <c r="AP272" i="26" s="1"/>
  <c r="AJ250" i="26"/>
  <c r="AJ274" i="26" s="1"/>
  <c r="AI250" i="26"/>
  <c r="AI274" i="26"/>
  <c r="AJ248" i="26"/>
  <c r="AJ272" i="26" s="1"/>
  <c r="AI248" i="26"/>
  <c r="AI242" i="26"/>
  <c r="AL238" i="26"/>
  <c r="S20" i="4" s="1"/>
  <c r="AO236" i="26"/>
  <c r="AO272" i="26" s="1"/>
  <c r="AN236" i="26"/>
  <c r="AN272" i="26"/>
  <c r="AM236" i="26"/>
  <c r="AL236" i="26"/>
  <c r="AL272" i="26"/>
  <c r="AZ233" i="26"/>
  <c r="AY233" i="26"/>
  <c r="AX233" i="26"/>
  <c r="AW233" i="26"/>
  <c r="AV233" i="26"/>
  <c r="AU233" i="26"/>
  <c r="AT233" i="26"/>
  <c r="AS233" i="26"/>
  <c r="AR233" i="26"/>
  <c r="AQ233" i="26"/>
  <c r="AP233" i="26"/>
  <c r="AO233" i="26"/>
  <c r="AI233" i="26"/>
  <c r="AH233" i="26"/>
  <c r="AG233" i="26"/>
  <c r="AF233" i="26"/>
  <c r="AE233" i="26"/>
  <c r="AD233" i="26"/>
  <c r="AC233" i="26"/>
  <c r="S233" i="26"/>
  <c r="R233" i="26"/>
  <c r="Q233" i="26"/>
  <c r="P233" i="26"/>
  <c r="O233" i="26"/>
  <c r="N233" i="26"/>
  <c r="M233" i="26"/>
  <c r="L233" i="26"/>
  <c r="K233" i="26"/>
  <c r="J233" i="26"/>
  <c r="I233" i="26"/>
  <c r="H233" i="26"/>
  <c r="AZ232" i="26"/>
  <c r="AY232" i="26"/>
  <c r="AX232" i="26"/>
  <c r="AW232" i="26"/>
  <c r="AV232" i="26"/>
  <c r="AU232" i="26"/>
  <c r="AT232" i="26"/>
  <c r="AS232" i="26"/>
  <c r="AR232" i="26"/>
  <c r="AQ232" i="26"/>
  <c r="AI232" i="26"/>
  <c r="AF232" i="26"/>
  <c r="AE232" i="26"/>
  <c r="AD232" i="26"/>
  <c r="AC232" i="26"/>
  <c r="S232" i="26"/>
  <c r="R232" i="26"/>
  <c r="Q232" i="26"/>
  <c r="P232" i="26"/>
  <c r="O232" i="26"/>
  <c r="N232" i="26"/>
  <c r="H232" i="26"/>
  <c r="AZ230" i="26"/>
  <c r="AY230" i="26"/>
  <c r="AX230" i="26"/>
  <c r="AW230" i="26"/>
  <c r="AV230" i="26"/>
  <c r="AU230" i="26"/>
  <c r="AT230" i="26"/>
  <c r="AS230" i="26"/>
  <c r="AR230" i="26"/>
  <c r="AD230" i="26"/>
  <c r="AC230" i="26"/>
  <c r="S230" i="26"/>
  <c r="R230" i="26"/>
  <c r="Q230" i="26"/>
  <c r="P230" i="26"/>
  <c r="O230" i="26"/>
  <c r="N230" i="26"/>
  <c r="N231" i="26" s="1"/>
  <c r="N234" i="26" s="1"/>
  <c r="M230" i="26"/>
  <c r="L230" i="26"/>
  <c r="K230" i="26"/>
  <c r="J230" i="26"/>
  <c r="I230" i="26"/>
  <c r="H230" i="26"/>
  <c r="AN227" i="26"/>
  <c r="AN233" i="26" s="1"/>
  <c r="AM227" i="26"/>
  <c r="AL227" i="26"/>
  <c r="AL233" i="26"/>
  <c r="AK227" i="26"/>
  <c r="AK233" i="26" s="1"/>
  <c r="AJ227" i="26"/>
  <c r="AN224" i="26"/>
  <c r="AN230" i="26" s="1"/>
  <c r="AM224" i="26"/>
  <c r="AL224" i="26"/>
  <c r="AK224" i="26"/>
  <c r="AJ224" i="26"/>
  <c r="AP220" i="26"/>
  <c r="AP218" i="26"/>
  <c r="AQ212" i="26"/>
  <c r="AQ230" i="26" s="1"/>
  <c r="AP206" i="26"/>
  <c r="AO202" i="26"/>
  <c r="V45" i="4"/>
  <c r="AO200" i="26"/>
  <c r="AO194" i="26"/>
  <c r="AO230" i="26" s="1"/>
  <c r="AM188" i="26"/>
  <c r="AL188" i="26"/>
  <c r="AG184" i="26"/>
  <c r="N45" i="4" s="1"/>
  <c r="AG232" i="26"/>
  <c r="AH182" i="26"/>
  <c r="AG182" i="26"/>
  <c r="AG183" i="26" s="1"/>
  <c r="AG186" i="26" s="1"/>
  <c r="AL178" i="26"/>
  <c r="AL176" i="26"/>
  <c r="K174" i="26"/>
  <c r="AH172" i="26"/>
  <c r="AH232" i="26"/>
  <c r="AJ170" i="26"/>
  <c r="AI170" i="26"/>
  <c r="AH170" i="26"/>
  <c r="AH171" i="26" s="1"/>
  <c r="AH174" i="26" s="1"/>
  <c r="AK164" i="26"/>
  <c r="AJ164" i="26"/>
  <c r="AI164" i="26"/>
  <c r="AH164" i="26"/>
  <c r="AI158" i="26"/>
  <c r="AH158" i="26"/>
  <c r="AG158" i="26"/>
  <c r="AF158" i="26"/>
  <c r="AF230" i="26" s="1"/>
  <c r="AK152" i="26"/>
  <c r="AJ152" i="26"/>
  <c r="AI152" i="26"/>
  <c r="AH152" i="26"/>
  <c r="AJ146" i="26"/>
  <c r="AI146" i="26"/>
  <c r="AH146" i="26"/>
  <c r="AG146" i="26"/>
  <c r="AG230" i="26" s="1"/>
  <c r="AF146" i="26"/>
  <c r="AE146" i="26"/>
  <c r="AE230" i="26" s="1"/>
  <c r="AZ143" i="26"/>
  <c r="AY143" i="26"/>
  <c r="AX143" i="26"/>
  <c r="AW143" i="26"/>
  <c r="AV143" i="26"/>
  <c r="AU143" i="26"/>
  <c r="AT143" i="26"/>
  <c r="AS143" i="26"/>
  <c r="AR143" i="26"/>
  <c r="AQ143" i="26"/>
  <c r="AP143" i="26"/>
  <c r="AO143" i="26"/>
  <c r="AN143" i="26"/>
  <c r="AM143" i="26"/>
  <c r="AF143" i="26"/>
  <c r="AE143" i="26"/>
  <c r="AD143" i="26"/>
  <c r="AC143" i="26"/>
  <c r="S143" i="26"/>
  <c r="R143" i="26"/>
  <c r="Q143" i="26"/>
  <c r="P143" i="26"/>
  <c r="O143" i="26"/>
  <c r="N143" i="26"/>
  <c r="M143" i="26"/>
  <c r="L143" i="26"/>
  <c r="K143" i="26"/>
  <c r="J143" i="26"/>
  <c r="I143" i="26"/>
  <c r="H143" i="26"/>
  <c r="AZ142" i="26"/>
  <c r="AY142" i="26"/>
  <c r="AX142" i="26"/>
  <c r="AW142" i="26"/>
  <c r="AV142" i="26"/>
  <c r="AU142" i="26"/>
  <c r="AT142" i="26"/>
  <c r="AS142" i="26"/>
  <c r="AR142" i="26"/>
  <c r="AQ142" i="26"/>
  <c r="AP142" i="26"/>
  <c r="AO142" i="26"/>
  <c r="AN142" i="26"/>
  <c r="AM142" i="26"/>
  <c r="AF142" i="26"/>
  <c r="AE142" i="26"/>
  <c r="AD142" i="26"/>
  <c r="AC142" i="26"/>
  <c r="R142" i="26"/>
  <c r="Q142" i="26"/>
  <c r="P142" i="26"/>
  <c r="O142" i="26"/>
  <c r="N142" i="26"/>
  <c r="M142" i="26"/>
  <c r="L142" i="26"/>
  <c r="H142" i="26"/>
  <c r="AZ140" i="26"/>
  <c r="AY140" i="26"/>
  <c r="AX140" i="26"/>
  <c r="AW140" i="26"/>
  <c r="AV140" i="26"/>
  <c r="AU140" i="26"/>
  <c r="AT140" i="26"/>
  <c r="AS140" i="26"/>
  <c r="AR140" i="26"/>
  <c r="AQ140" i="26"/>
  <c r="AP140" i="26"/>
  <c r="AO140" i="26"/>
  <c r="AN140" i="26"/>
  <c r="AM140" i="26"/>
  <c r="AL140" i="26"/>
  <c r="AK140" i="26"/>
  <c r="AJ140" i="26"/>
  <c r="AI140" i="26"/>
  <c r="AH140" i="26"/>
  <c r="AG140" i="26"/>
  <c r="AF140" i="26"/>
  <c r="AE140" i="26"/>
  <c r="AD140" i="26"/>
  <c r="AC140" i="26"/>
  <c r="S140" i="26"/>
  <c r="R140" i="26"/>
  <c r="Q140" i="26"/>
  <c r="P140" i="26"/>
  <c r="O140" i="26"/>
  <c r="N140" i="26"/>
  <c r="N141" i="26" s="1"/>
  <c r="M140" i="26"/>
  <c r="L140" i="26"/>
  <c r="K140" i="26"/>
  <c r="J140" i="26"/>
  <c r="I140" i="26"/>
  <c r="H140" i="26"/>
  <c r="E136" i="26"/>
  <c r="AL125" i="26"/>
  <c r="AL143" i="26" s="1"/>
  <c r="AK125" i="26"/>
  <c r="AK143" i="26" s="1"/>
  <c r="AJ125" i="26"/>
  <c r="AJ143" i="26" s="1"/>
  <c r="AI125" i="26"/>
  <c r="AI143" i="26" s="1"/>
  <c r="AH125" i="26"/>
  <c r="AH143" i="26"/>
  <c r="AG125" i="26"/>
  <c r="AG143" i="26" s="1"/>
  <c r="J99" i="26"/>
  <c r="J102" i="26" s="1"/>
  <c r="AG59" i="26"/>
  <c r="AF59" i="26"/>
  <c r="AE59" i="26"/>
  <c r="AD59" i="26"/>
  <c r="AD349" i="26" s="1"/>
  <c r="AZ53" i="26"/>
  <c r="AY53" i="26"/>
  <c r="AX53" i="26"/>
  <c r="AW53" i="26"/>
  <c r="AV53" i="26"/>
  <c r="AU53" i="26"/>
  <c r="AT53" i="26"/>
  <c r="AS53" i="26"/>
  <c r="AR53" i="26"/>
  <c r="AQ53" i="26"/>
  <c r="AP53" i="26"/>
  <c r="AO53" i="26"/>
  <c r="AE53" i="26"/>
  <c r="AD53" i="26"/>
  <c r="AC53" i="26"/>
  <c r="S53" i="26"/>
  <c r="R53" i="26"/>
  <c r="Q53" i="26"/>
  <c r="P53" i="26"/>
  <c r="O53" i="26"/>
  <c r="N53" i="26"/>
  <c r="M53" i="26"/>
  <c r="L53" i="26"/>
  <c r="K53" i="26"/>
  <c r="J53" i="26"/>
  <c r="I53" i="26"/>
  <c r="H53" i="26"/>
  <c r="AZ52" i="26"/>
  <c r="AY52" i="26"/>
  <c r="AX52" i="26"/>
  <c r="AW52" i="26"/>
  <c r="AV52" i="26"/>
  <c r="AU52" i="26"/>
  <c r="AT52" i="26"/>
  <c r="AS52" i="26"/>
  <c r="AR52" i="26"/>
  <c r="AQ52" i="26"/>
  <c r="AP52" i="26"/>
  <c r="AO52" i="26"/>
  <c r="AN52" i="26"/>
  <c r="AM52" i="26"/>
  <c r="AL52" i="26"/>
  <c r="AK52" i="26"/>
  <c r="AJ52" i="26"/>
  <c r="AI52" i="26"/>
  <c r="AH52" i="26"/>
  <c r="AG52" i="26"/>
  <c r="AF52" i="26"/>
  <c r="AE52" i="26"/>
  <c r="AD52" i="26"/>
  <c r="AC52" i="26"/>
  <c r="S52" i="26"/>
  <c r="R52" i="26"/>
  <c r="Q52" i="26"/>
  <c r="P52" i="26"/>
  <c r="O52" i="26"/>
  <c r="N52" i="26"/>
  <c r="M52" i="26"/>
  <c r="L52" i="26"/>
  <c r="K52" i="26"/>
  <c r="J52" i="26"/>
  <c r="I52" i="26"/>
  <c r="H52" i="26"/>
  <c r="AE50" i="26"/>
  <c r="AD50" i="26"/>
  <c r="AC50" i="26"/>
  <c r="S50" i="26"/>
  <c r="R50" i="26"/>
  <c r="Q50" i="26"/>
  <c r="P50" i="26"/>
  <c r="O50" i="26"/>
  <c r="O51" i="26" s="1"/>
  <c r="O54" i="26" s="1"/>
  <c r="N50" i="26"/>
  <c r="N51" i="26" s="1"/>
  <c r="M50" i="26"/>
  <c r="L50" i="26"/>
  <c r="K50" i="26"/>
  <c r="J50" i="26"/>
  <c r="I50" i="26"/>
  <c r="H50" i="26"/>
  <c r="AN47" i="26"/>
  <c r="AN53" i="26" s="1"/>
  <c r="AM47" i="26"/>
  <c r="AM53" i="26" s="1"/>
  <c r="AL47" i="26"/>
  <c r="AL53" i="26" s="1"/>
  <c r="AK47" i="26"/>
  <c r="AK53" i="26"/>
  <c r="AJ47" i="26"/>
  <c r="AJ53" i="26" s="1"/>
  <c r="AI47" i="26"/>
  <c r="AI53" i="26"/>
  <c r="AH47" i="26"/>
  <c r="AG47" i="26"/>
  <c r="AG53" i="26" s="1"/>
  <c r="AF47" i="26"/>
  <c r="AF53" i="26" s="1"/>
  <c r="AW44" i="26"/>
  <c r="AW45" i="26" s="1"/>
  <c r="AW48" i="26" s="1"/>
  <c r="AV44" i="26"/>
  <c r="AU44" i="26"/>
  <c r="AT44" i="26"/>
  <c r="AS44" i="26"/>
  <c r="AR44" i="26"/>
  <c r="AQ44" i="26"/>
  <c r="AP44" i="26"/>
  <c r="AO44" i="26"/>
  <c r="AN44" i="26"/>
  <c r="AM44" i="26"/>
  <c r="AM45" i="26" s="1"/>
  <c r="AL44" i="26"/>
  <c r="AK44" i="26"/>
  <c r="AJ44" i="26"/>
  <c r="AI44" i="26"/>
  <c r="AH44" i="26"/>
  <c r="AG44" i="26"/>
  <c r="AF44" i="26"/>
  <c r="AF50" i="26"/>
  <c r="AC42" i="26"/>
  <c r="AZ38" i="26"/>
  <c r="AZ39" i="26" s="1"/>
  <c r="AY38" i="26"/>
  <c r="AY50" i="26"/>
  <c r="AX38" i="26"/>
  <c r="AX50" i="26" s="1"/>
  <c r="AW38" i="26"/>
  <c r="AV38" i="26"/>
  <c r="AU38" i="26"/>
  <c r="AT38" i="26"/>
  <c r="AT50" i="26" s="1"/>
  <c r="AS38" i="26"/>
  <c r="AS39" i="26" s="1"/>
  <c r="AS42" i="26" s="1"/>
  <c r="AR38" i="26"/>
  <c r="AQ38" i="26"/>
  <c r="AP38" i="26"/>
  <c r="AO38" i="26"/>
  <c r="AO50" i="26" s="1"/>
  <c r="AN38" i="26"/>
  <c r="AN50" i="26" s="1"/>
  <c r="AM38" i="26"/>
  <c r="AL38" i="26"/>
  <c r="AK38" i="26"/>
  <c r="AK346" i="26" s="1"/>
  <c r="AJ38" i="26"/>
  <c r="AJ50" i="26" s="1"/>
  <c r="AI38" i="26"/>
  <c r="AI50" i="26" s="1"/>
  <c r="AH38" i="26"/>
  <c r="AG38" i="26"/>
  <c r="AX35" i="26"/>
  <c r="AW35" i="26"/>
  <c r="AV35" i="26"/>
  <c r="AV349" i="26" s="1"/>
  <c r="AU35" i="26"/>
  <c r="AU349" i="26" s="1"/>
  <c r="AT35" i="26"/>
  <c r="AS35" i="26"/>
  <c r="AR35" i="26"/>
  <c r="AQ35" i="26"/>
  <c r="AQ349" i="26" s="1"/>
  <c r="AP35" i="26"/>
  <c r="AO35" i="26"/>
  <c r="AO349" i="26"/>
  <c r="AN35" i="26"/>
  <c r="AM35" i="26"/>
  <c r="AL35" i="26"/>
  <c r="AK35" i="26"/>
  <c r="AJ35" i="26"/>
  <c r="AI35" i="26"/>
  <c r="AH35" i="26"/>
  <c r="AG35" i="26"/>
  <c r="AF35" i="26"/>
  <c r="AE35" i="26"/>
  <c r="AE349" i="26"/>
  <c r="AZ32" i="26"/>
  <c r="AY32" i="26"/>
  <c r="AX32" i="26"/>
  <c r="AW32" i="26"/>
  <c r="AV32" i="26"/>
  <c r="AU32" i="26"/>
  <c r="AT32" i="26"/>
  <c r="AS32" i="26"/>
  <c r="AR32" i="26"/>
  <c r="AQ32" i="26"/>
  <c r="AP32" i="26"/>
  <c r="AO32" i="26"/>
  <c r="AN32" i="26"/>
  <c r="AM32" i="26"/>
  <c r="AL32" i="26"/>
  <c r="AK32" i="26"/>
  <c r="AJ32" i="26"/>
  <c r="AI32" i="26"/>
  <c r="AH32" i="26"/>
  <c r="AG32" i="26"/>
  <c r="AF32" i="26"/>
  <c r="AE32" i="26"/>
  <c r="N30" i="26"/>
  <c r="AU195" i="26"/>
  <c r="AU198" i="26" s="1"/>
  <c r="J30" i="26"/>
  <c r="Q33" i="26" s="1"/>
  <c r="Q36" i="26" s="1"/>
  <c r="AF57" i="26"/>
  <c r="I39" i="26"/>
  <c r="I42" i="26" s="1"/>
  <c r="AN87" i="26"/>
  <c r="AN90" i="26" s="1"/>
  <c r="AZ343" i="26"/>
  <c r="AJ321" i="26"/>
  <c r="Q159" i="26"/>
  <c r="Q162" i="26" s="1"/>
  <c r="AE69" i="26"/>
  <c r="AE72" i="26" s="1"/>
  <c r="AK123" i="26"/>
  <c r="F456" i="26"/>
  <c r="AN63" i="26"/>
  <c r="AN66" i="26" s="1"/>
  <c r="O45" i="26"/>
  <c r="O48" i="26" s="1"/>
  <c r="AG57" i="26"/>
  <c r="AO63" i="26"/>
  <c r="AF69" i="26"/>
  <c r="AF72" i="26" s="1"/>
  <c r="AZ81" i="26"/>
  <c r="AZ84" i="26" s="1"/>
  <c r="AX123" i="26"/>
  <c r="AX126" i="26" s="1"/>
  <c r="AX165" i="26"/>
  <c r="AX168" i="26" s="1"/>
  <c r="AO201" i="26"/>
  <c r="AO204" i="26"/>
  <c r="K39" i="26"/>
  <c r="K42" i="26" s="1"/>
  <c r="H63" i="26"/>
  <c r="H66" i="26" s="1"/>
  <c r="AP63" i="26"/>
  <c r="S81" i="26"/>
  <c r="S84" i="26" s="1"/>
  <c r="AY123" i="26"/>
  <c r="AY126" i="26" s="1"/>
  <c r="H129" i="26"/>
  <c r="H132" i="26" s="1"/>
  <c r="N219" i="26"/>
  <c r="N222" i="26" s="1"/>
  <c r="AE45" i="26"/>
  <c r="AE48" i="26" s="1"/>
  <c r="AN57" i="26"/>
  <c r="I63" i="26"/>
  <c r="I66" i="26" s="1"/>
  <c r="AH81" i="26"/>
  <c r="AH84" i="26" s="1"/>
  <c r="I87" i="26"/>
  <c r="I90" i="26" s="1"/>
  <c r="AV87" i="26"/>
  <c r="AV90" i="26"/>
  <c r="AS219" i="26"/>
  <c r="AS222" i="26" s="1"/>
  <c r="O39" i="26"/>
  <c r="O42" i="26" s="1"/>
  <c r="M69" i="26"/>
  <c r="M72" i="26" s="1"/>
  <c r="AU69" i="26"/>
  <c r="AU72" i="26"/>
  <c r="AI81" i="26"/>
  <c r="AI84" i="26" s="1"/>
  <c r="O87" i="26"/>
  <c r="O90" i="26" s="1"/>
  <c r="M117" i="26"/>
  <c r="M120" i="26" s="1"/>
  <c r="J129" i="26"/>
  <c r="J132" i="26" s="1"/>
  <c r="AJ171" i="26"/>
  <c r="AJ174" i="26" s="1"/>
  <c r="AP50" i="26"/>
  <c r="I45" i="26"/>
  <c r="I48" i="26" s="1"/>
  <c r="S51" i="26"/>
  <c r="H57" i="26"/>
  <c r="H60" i="26" s="1"/>
  <c r="AW57" i="26"/>
  <c r="AF63" i="26"/>
  <c r="P87" i="26"/>
  <c r="P90" i="26" s="1"/>
  <c r="O93" i="26"/>
  <c r="O96" i="26" s="1"/>
  <c r="AS105" i="26"/>
  <c r="AS108" i="26" s="1"/>
  <c r="AT117" i="26"/>
  <c r="AT120" i="26" s="1"/>
  <c r="AY129" i="26"/>
  <c r="AY132" i="26" s="1"/>
  <c r="F407" i="26"/>
  <c r="L45" i="26"/>
  <c r="L48" i="26" s="1"/>
  <c r="L51" i="26"/>
  <c r="N57" i="26"/>
  <c r="N60" i="26" s="1"/>
  <c r="AG63" i="26"/>
  <c r="AG87" i="26"/>
  <c r="AG90" i="26"/>
  <c r="AD93" i="26"/>
  <c r="AD96" i="26" s="1"/>
  <c r="AU117" i="26"/>
  <c r="AU120" i="26" s="1"/>
  <c r="AT147" i="26"/>
  <c r="AM230" i="26"/>
  <c r="O45" i="4"/>
  <c r="AS50" i="26"/>
  <c r="H39" i="26"/>
  <c r="H42" i="26" s="1"/>
  <c r="AE57" i="26"/>
  <c r="AH63" i="26"/>
  <c r="AH66" i="26" s="1"/>
  <c r="L75" i="26"/>
  <c r="L78" i="26" s="1"/>
  <c r="K81" i="26"/>
  <c r="K84" i="26" s="1"/>
  <c r="AX81" i="26"/>
  <c r="AX84" i="26" s="1"/>
  <c r="I111" i="26"/>
  <c r="I114" i="26" s="1"/>
  <c r="L123" i="26"/>
  <c r="L126" i="26" s="1"/>
  <c r="P135" i="26"/>
  <c r="P138" i="26" s="1"/>
  <c r="S165" i="26"/>
  <c r="S168" i="26" s="1"/>
  <c r="AC189" i="26"/>
  <c r="AC192" i="26" s="1"/>
  <c r="F429" i="26"/>
  <c r="P49" i="4"/>
  <c r="Q49" i="4"/>
  <c r="L54" i="26"/>
  <c r="AQ50" i="26"/>
  <c r="AN135" i="26"/>
  <c r="AN138" i="26" s="1"/>
  <c r="AD153" i="26"/>
  <c r="AD156" i="26" s="1"/>
  <c r="AW159" i="26"/>
  <c r="AW162" i="26" s="1"/>
  <c r="AY165" i="26"/>
  <c r="AY168" i="26" s="1"/>
  <c r="AZ280" i="26"/>
  <c r="M298" i="26"/>
  <c r="M301" i="26" s="1"/>
  <c r="AJ39" i="26"/>
  <c r="AT39" i="26"/>
  <c r="AO66" i="26"/>
  <c r="AV105" i="26"/>
  <c r="AV108" i="26" s="1"/>
  <c r="AF111" i="26"/>
  <c r="AF114" i="26" s="1"/>
  <c r="AE117" i="26"/>
  <c r="AE120" i="26" s="1"/>
  <c r="M123" i="26"/>
  <c r="M126" i="26" s="1"/>
  <c r="AH129" i="26"/>
  <c r="AH132" i="26" s="1"/>
  <c r="AO135" i="26"/>
  <c r="AO138" i="26" s="1"/>
  <c r="AX159" i="26"/>
  <c r="AX162" i="26" s="1"/>
  <c r="AN171" i="26"/>
  <c r="AN174" i="26" s="1"/>
  <c r="AM177" i="26"/>
  <c r="AM180" i="26" s="1"/>
  <c r="AL93" i="26"/>
  <c r="AL96" i="26" s="1"/>
  <c r="AK99" i="26"/>
  <c r="AK102" i="26" s="1"/>
  <c r="P105" i="26"/>
  <c r="P108" i="26"/>
  <c r="AW105" i="26"/>
  <c r="AW108" i="26" s="1"/>
  <c r="AF117" i="26"/>
  <c r="M147" i="26"/>
  <c r="M150" i="26" s="1"/>
  <c r="AF153" i="26"/>
  <c r="AF156" i="26" s="1"/>
  <c r="Q183" i="26"/>
  <c r="Q186" i="26" s="1"/>
  <c r="AE195" i="26"/>
  <c r="AE198" i="26" s="1"/>
  <c r="AQ213" i="26"/>
  <c r="AQ216" i="26" s="1"/>
  <c r="AG147" i="26"/>
  <c r="AM39" i="26"/>
  <c r="T15" i="4" s="1"/>
  <c r="M39" i="26"/>
  <c r="M42" i="26" s="1"/>
  <c r="AD39" i="26"/>
  <c r="AX39" i="26"/>
  <c r="AC45" i="26"/>
  <c r="AC48" i="26" s="1"/>
  <c r="AC54" i="26" s="1"/>
  <c r="AU57" i="26"/>
  <c r="AV63" i="26"/>
  <c r="AL69" i="26"/>
  <c r="AL72" i="26"/>
  <c r="S75" i="26"/>
  <c r="S78" i="26"/>
  <c r="Q87" i="26"/>
  <c r="Q90" i="26" s="1"/>
  <c r="AW87" i="26"/>
  <c r="AW90" i="26" s="1"/>
  <c r="AM93" i="26"/>
  <c r="AM96" i="26" s="1"/>
  <c r="AS99" i="26"/>
  <c r="AS102" i="26" s="1"/>
  <c r="AP111" i="26"/>
  <c r="AP114" i="26" s="1"/>
  <c r="AW129" i="26"/>
  <c r="AW132" i="26" s="1"/>
  <c r="S147" i="26"/>
  <c r="S150" i="26" s="1"/>
  <c r="Q165" i="26"/>
  <c r="Q168" i="26" s="1"/>
  <c r="AZ177" i="26"/>
  <c r="AZ180" i="26" s="1"/>
  <c r="AI183" i="26"/>
  <c r="AI186" i="26" s="1"/>
  <c r="I189" i="26"/>
  <c r="I192" i="26" s="1"/>
  <c r="AP335" i="26"/>
  <c r="AP338" i="26" s="1"/>
  <c r="AH335" i="26"/>
  <c r="AH338" i="26" s="1"/>
  <c r="Q335" i="26"/>
  <c r="Q338" i="26" s="1"/>
  <c r="AU329" i="26"/>
  <c r="AM329" i="26"/>
  <c r="AW335" i="26"/>
  <c r="AW338" i="26" s="1"/>
  <c r="AO335" i="26"/>
  <c r="AO338" i="26" s="1"/>
  <c r="P335" i="26"/>
  <c r="P338" i="26" s="1"/>
  <c r="H335" i="26"/>
  <c r="AT329" i="26"/>
  <c r="M329" i="26"/>
  <c r="M332" i="26" s="1"/>
  <c r="AT316" i="26"/>
  <c r="AT319" i="26" s="1"/>
  <c r="AL316" i="26"/>
  <c r="AL319" i="26" s="1"/>
  <c r="AD316" i="26"/>
  <c r="AD319" i="26" s="1"/>
  <c r="M316" i="26"/>
  <c r="M319" i="26" s="1"/>
  <c r="AV335" i="26"/>
  <c r="AS329" i="26"/>
  <c r="AK329" i="26"/>
  <c r="AK341" i="26" s="1"/>
  <c r="AC329" i="26"/>
  <c r="L329" i="26"/>
  <c r="L332" i="26" s="1"/>
  <c r="AK316" i="26"/>
  <c r="AK319" i="26" s="1"/>
  <c r="AC316" i="26"/>
  <c r="AC319" i="26" s="1"/>
  <c r="AM335" i="26"/>
  <c r="AM338" i="26" s="1"/>
  <c r="N335" i="26"/>
  <c r="N338" i="26" s="1"/>
  <c r="AZ329" i="26"/>
  <c r="AR329" i="26"/>
  <c r="AJ329" i="26"/>
  <c r="S329" i="26"/>
  <c r="S332" i="26" s="1"/>
  <c r="AR316" i="26"/>
  <c r="AR319" i="26" s="1"/>
  <c r="AJ316" i="26"/>
  <c r="AJ319" i="26" s="1"/>
  <c r="S316" i="26"/>
  <c r="S319" i="26"/>
  <c r="N341" i="26"/>
  <c r="N344" i="26" s="1"/>
  <c r="AD335" i="26"/>
  <c r="AD338" i="26" s="1"/>
  <c r="M335" i="26"/>
  <c r="M338" i="26" s="1"/>
  <c r="AI329" i="26"/>
  <c r="R329" i="26"/>
  <c r="R332" i="26" s="1"/>
  <c r="AR335" i="26"/>
  <c r="AR338" i="26" s="1"/>
  <c r="L335" i="26"/>
  <c r="L338" i="26" s="1"/>
  <c r="O329" i="26"/>
  <c r="O332" i="26" s="1"/>
  <c r="I316" i="26"/>
  <c r="I319" i="26" s="1"/>
  <c r="AJ310" i="26"/>
  <c r="AJ313" i="26" s="1"/>
  <c r="S310" i="26"/>
  <c r="S313" i="26"/>
  <c r="K310" i="26"/>
  <c r="K313" i="26" s="1"/>
  <c r="AU304" i="26"/>
  <c r="AU307" i="26" s="1"/>
  <c r="N304" i="26"/>
  <c r="N307" i="26" s="1"/>
  <c r="AY298" i="26"/>
  <c r="AY301" i="26" s="1"/>
  <c r="AI298" i="26"/>
  <c r="AI301" i="26" s="1"/>
  <c r="R298" i="26"/>
  <c r="R301" i="26" s="1"/>
  <c r="J298" i="26"/>
  <c r="J301" i="26" s="1"/>
  <c r="N292" i="26"/>
  <c r="N295" i="26" s="1"/>
  <c r="AX286" i="26"/>
  <c r="AX289" i="26" s="1"/>
  <c r="AP286" i="26"/>
  <c r="AP289" i="26" s="1"/>
  <c r="AH286" i="26"/>
  <c r="AH289" i="26" s="1"/>
  <c r="Q286" i="26"/>
  <c r="Q289" i="26" s="1"/>
  <c r="K341" i="26"/>
  <c r="K344" i="26" s="1"/>
  <c r="K335" i="26"/>
  <c r="K338" i="26" s="1"/>
  <c r="AO329" i="26"/>
  <c r="I329" i="26"/>
  <c r="I332" i="26" s="1"/>
  <c r="Q322" i="26"/>
  <c r="AP316" i="26"/>
  <c r="AP319" i="26" s="1"/>
  <c r="AE316" i="26"/>
  <c r="AE319" i="26" s="1"/>
  <c r="J310" i="26"/>
  <c r="J313" i="26" s="1"/>
  <c r="AT304" i="26"/>
  <c r="AT307" i="26" s="1"/>
  <c r="AL304" i="26"/>
  <c r="AL307" i="26"/>
  <c r="AD304" i="26"/>
  <c r="AD307" i="26" s="1"/>
  <c r="M304" i="26"/>
  <c r="M307" i="26" s="1"/>
  <c r="Q298" i="26"/>
  <c r="Q301" i="26" s="1"/>
  <c r="I298" i="26"/>
  <c r="I301" i="26" s="1"/>
  <c r="AT292" i="26"/>
  <c r="AT295" i="26" s="1"/>
  <c r="AD292" i="26"/>
  <c r="AD295" i="26" s="1"/>
  <c r="M292" i="26"/>
  <c r="M295" i="26" s="1"/>
  <c r="AG286" i="26"/>
  <c r="AG289" i="26" s="1"/>
  <c r="H286" i="26"/>
  <c r="H289" i="26" s="1"/>
  <c r="AK335" i="26"/>
  <c r="AK338" i="26" s="1"/>
  <c r="J335" i="26"/>
  <c r="AN329" i="26"/>
  <c r="H329" i="26"/>
  <c r="H332" i="26" s="1"/>
  <c r="AP310" i="26"/>
  <c r="AP313" i="26" s="1"/>
  <c r="AH310" i="26"/>
  <c r="AH313" i="26" s="1"/>
  <c r="Q310" i="26"/>
  <c r="Q313" i="26" s="1"/>
  <c r="I310" i="26"/>
  <c r="I313" i="26" s="1"/>
  <c r="AS304" i="26"/>
  <c r="AS307" i="26" s="1"/>
  <c r="AK304" i="26"/>
  <c r="AK307" i="26" s="1"/>
  <c r="AO298" i="26"/>
  <c r="AO301" i="26" s="1"/>
  <c r="P298" i="26"/>
  <c r="P301" i="26" s="1"/>
  <c r="H298" i="26"/>
  <c r="H301" i="26" s="1"/>
  <c r="AS292" i="26"/>
  <c r="AS295" i="26" s="1"/>
  <c r="AC292" i="26"/>
  <c r="AC295" i="26" s="1"/>
  <c r="K292" i="26"/>
  <c r="K295" i="26" s="1"/>
  <c r="AY316" i="26"/>
  <c r="AY319" i="26" s="1"/>
  <c r="AN316" i="26"/>
  <c r="AN319" i="26" s="1"/>
  <c r="Q316" i="26"/>
  <c r="Q319" i="26" s="1"/>
  <c r="AO310" i="26"/>
  <c r="AO313" i="26" s="1"/>
  <c r="P310" i="26"/>
  <c r="P313" i="26" s="1"/>
  <c r="AZ304" i="26"/>
  <c r="AZ307" i="26" s="1"/>
  <c r="AR304" i="26"/>
  <c r="AR307" i="26" s="1"/>
  <c r="AJ304" i="26"/>
  <c r="AJ307" i="26" s="1"/>
  <c r="S304" i="26"/>
  <c r="S307" i="26" s="1"/>
  <c r="K304" i="26"/>
  <c r="K307" i="26" s="1"/>
  <c r="AF298" i="26"/>
  <c r="AZ292" i="26"/>
  <c r="AZ295" i="26" s="1"/>
  <c r="AR292" i="26"/>
  <c r="AR295" i="26" s="1"/>
  <c r="S292" i="26"/>
  <c r="S295" i="26" s="1"/>
  <c r="J292" i="26"/>
  <c r="J295" i="26" s="1"/>
  <c r="AX316" i="26"/>
  <c r="AX319" i="26" s="1"/>
  <c r="AM316" i="26"/>
  <c r="P316" i="26"/>
  <c r="P319" i="26" s="1"/>
  <c r="AV310" i="26"/>
  <c r="AV313" i="26" s="1"/>
  <c r="AN310" i="26"/>
  <c r="AN313" i="26" s="1"/>
  <c r="O310" i="26"/>
  <c r="O313" i="26" s="1"/>
  <c r="AY304" i="26"/>
  <c r="AY307" i="26" s="1"/>
  <c r="AQ304" i="26"/>
  <c r="AQ307" i="26" s="1"/>
  <c r="AI304" i="26"/>
  <c r="AI307" i="26" s="1"/>
  <c r="R304" i="26"/>
  <c r="R307" i="26" s="1"/>
  <c r="AM298" i="26"/>
  <c r="AM301" i="26" s="1"/>
  <c r="AE298" i="26"/>
  <c r="AE301" i="26" s="1"/>
  <c r="N298" i="26"/>
  <c r="N301" i="26" s="1"/>
  <c r="AY292" i="26"/>
  <c r="AY295" i="26" s="1"/>
  <c r="AQ292" i="26"/>
  <c r="AQ295" i="26" s="1"/>
  <c r="I292" i="26"/>
  <c r="I295" i="26" s="1"/>
  <c r="AT286" i="26"/>
  <c r="AT289" i="26" s="1"/>
  <c r="AL286" i="26"/>
  <c r="AL289" i="26" s="1"/>
  <c r="M286" i="26"/>
  <c r="M289" i="26" s="1"/>
  <c r="R335" i="26"/>
  <c r="R338" i="26" s="1"/>
  <c r="AL310" i="26"/>
  <c r="AL313" i="26" s="1"/>
  <c r="AX304" i="26"/>
  <c r="AX307" i="26" s="1"/>
  <c r="AF304" i="26"/>
  <c r="AF307" i="26" s="1"/>
  <c r="AR298" i="26"/>
  <c r="AR301" i="26" s="1"/>
  <c r="L298" i="26"/>
  <c r="L301" i="26" s="1"/>
  <c r="AQ286" i="26"/>
  <c r="AQ289" i="26" s="1"/>
  <c r="AC286" i="26"/>
  <c r="AC289" i="26" s="1"/>
  <c r="AX280" i="26"/>
  <c r="AP280" i="26"/>
  <c r="Q280" i="26"/>
  <c r="Q283" i="26"/>
  <c r="AL267" i="26"/>
  <c r="AD267" i="26"/>
  <c r="M267" i="26"/>
  <c r="M270" i="26" s="1"/>
  <c r="AW261" i="26"/>
  <c r="AW264" i="26" s="1"/>
  <c r="AO261" i="26"/>
  <c r="AO264" i="26" s="1"/>
  <c r="AG261" i="26"/>
  <c r="AG264" i="26" s="1"/>
  <c r="H261" i="26"/>
  <c r="H264" i="26" s="1"/>
  <c r="AY255" i="26"/>
  <c r="AI255" i="26"/>
  <c r="AI258" i="26" s="1"/>
  <c r="R255" i="26"/>
  <c r="R258" i="26" s="1"/>
  <c r="J255" i="26"/>
  <c r="J258" i="26" s="1"/>
  <c r="AK310" i="26"/>
  <c r="AK313" i="26" s="1"/>
  <c r="AW304" i="26"/>
  <c r="AW307" i="26" s="1"/>
  <c r="Q304" i="26"/>
  <c r="Q307" i="26" s="1"/>
  <c r="AL298" i="26"/>
  <c r="AL301" i="26" s="1"/>
  <c r="K298" i="26"/>
  <c r="K301" i="26"/>
  <c r="AN286" i="26"/>
  <c r="AN289" i="26" s="1"/>
  <c r="S286" i="26"/>
  <c r="S289" i="26" s="1"/>
  <c r="AW280" i="26"/>
  <c r="AO280" i="26"/>
  <c r="P280" i="26"/>
  <c r="P283" i="26" s="1"/>
  <c r="AK267" i="26"/>
  <c r="AC267" i="26"/>
  <c r="L267" i="26"/>
  <c r="L270" i="26" s="1"/>
  <c r="AV261" i="26"/>
  <c r="AV264" i="26" s="1"/>
  <c r="AN261" i="26"/>
  <c r="AN264" i="26"/>
  <c r="O261" i="26"/>
  <c r="O264" i="26" s="1"/>
  <c r="AX255" i="26"/>
  <c r="AX258" i="26" s="1"/>
  <c r="AH255" i="26"/>
  <c r="AH258" i="26" s="1"/>
  <c r="Q255" i="26"/>
  <c r="Q258" i="26" s="1"/>
  <c r="I255" i="26"/>
  <c r="I258" i="26" s="1"/>
  <c r="AW329" i="26"/>
  <c r="J316" i="26"/>
  <c r="J319" i="26" s="1"/>
  <c r="AE310" i="26"/>
  <c r="AE313" i="26" s="1"/>
  <c r="AV304" i="26"/>
  <c r="AV307" i="26" s="1"/>
  <c r="P304" i="26"/>
  <c r="P307" i="26" s="1"/>
  <c r="AK298" i="26"/>
  <c r="AK301" i="26" s="1"/>
  <c r="AG292" i="26"/>
  <c r="AG295" i="26" s="1"/>
  <c r="AM286" i="26"/>
  <c r="R286" i="26"/>
  <c r="R289" i="26" s="1"/>
  <c r="AV280" i="26"/>
  <c r="AN280" i="26"/>
  <c r="AF280" i="26"/>
  <c r="O280" i="26"/>
  <c r="O283" i="26" s="1"/>
  <c r="AJ267" i="26"/>
  <c r="AZ335" i="26"/>
  <c r="AZ338" i="26" s="1"/>
  <c r="AV329" i="26"/>
  <c r="I322" i="26"/>
  <c r="AD310" i="26"/>
  <c r="AD313" i="26"/>
  <c r="AJ298" i="26"/>
  <c r="AJ301" i="26" s="1"/>
  <c r="AX292" i="26"/>
  <c r="AX295" i="26" s="1"/>
  <c r="AF292" i="26"/>
  <c r="AF295" i="26"/>
  <c r="AY286" i="26"/>
  <c r="AY289" i="26" s="1"/>
  <c r="AU280" i="26"/>
  <c r="AE280" i="26"/>
  <c r="AE283" i="26" s="1"/>
  <c r="N280" i="26"/>
  <c r="N283" i="26" s="1"/>
  <c r="AY335" i="26"/>
  <c r="AY338" i="26" s="1"/>
  <c r="AU316" i="26"/>
  <c r="AU319" i="26" s="1"/>
  <c r="AC310" i="26"/>
  <c r="AC313" i="26" s="1"/>
  <c r="AO304" i="26"/>
  <c r="AO307" i="26" s="1"/>
  <c r="AD298" i="26"/>
  <c r="AD301" i="26" s="1"/>
  <c r="AW292" i="26"/>
  <c r="AW295" i="26" s="1"/>
  <c r="Q292" i="26"/>
  <c r="Q295" i="26" s="1"/>
  <c r="AV286" i="26"/>
  <c r="AV289" i="26" s="1"/>
  <c r="N286" i="26"/>
  <c r="N289" i="26" s="1"/>
  <c r="AT280" i="26"/>
  <c r="AD280" i="26"/>
  <c r="M280" i="26"/>
  <c r="M283" i="26" s="1"/>
  <c r="AH304" i="26"/>
  <c r="AH307" i="26" s="1"/>
  <c r="AS286" i="26"/>
  <c r="AS289" i="26" s="1"/>
  <c r="AY280" i="26"/>
  <c r="AF74" i="4" s="1"/>
  <c r="S280" i="26"/>
  <c r="S283" i="26" s="1"/>
  <c r="S273" i="26"/>
  <c r="AP267" i="26"/>
  <c r="AZ261" i="26"/>
  <c r="AZ264" i="26" s="1"/>
  <c r="AP261" i="26"/>
  <c r="AP264" i="26"/>
  <c r="AD261" i="26"/>
  <c r="K261" i="26"/>
  <c r="K264" i="26" s="1"/>
  <c r="AD255" i="26"/>
  <c r="AD258" i="26" s="1"/>
  <c r="K255" i="26"/>
  <c r="K258" i="26" s="1"/>
  <c r="AY249" i="26"/>
  <c r="AQ249" i="26"/>
  <c r="AU243" i="26"/>
  <c r="AU246" i="26" s="1"/>
  <c r="AM243" i="26"/>
  <c r="AM246" i="26" s="1"/>
  <c r="AE243" i="26"/>
  <c r="AE246" i="26" s="1"/>
  <c r="N243" i="26"/>
  <c r="N246" i="26" s="1"/>
  <c r="AY237" i="26"/>
  <c r="AQ237" i="26"/>
  <c r="J237" i="26"/>
  <c r="J240" i="26"/>
  <c r="AY225" i="26"/>
  <c r="AY228" i="26" s="1"/>
  <c r="AQ225" i="26"/>
  <c r="AQ228" i="26" s="1"/>
  <c r="J225" i="26"/>
  <c r="AY219" i="26"/>
  <c r="AY222" i="26" s="1"/>
  <c r="AQ219" i="26"/>
  <c r="AQ222" i="26"/>
  <c r="AI219" i="26"/>
  <c r="AI222" i="26" s="1"/>
  <c r="J219" i="26"/>
  <c r="J222" i="26" s="1"/>
  <c r="AT213" i="26"/>
  <c r="AT216" i="26" s="1"/>
  <c r="AL213" i="26"/>
  <c r="AL216" i="26" s="1"/>
  <c r="AD213" i="26"/>
  <c r="AD216" i="26" s="1"/>
  <c r="AC335" i="26"/>
  <c r="AC338" i="26" s="1"/>
  <c r="Q329" i="26"/>
  <c r="Q332" i="26" s="1"/>
  <c r="AG316" i="26"/>
  <c r="AG319" i="26" s="1"/>
  <c r="AG304" i="26"/>
  <c r="AG307" i="26" s="1"/>
  <c r="AR286" i="26"/>
  <c r="AR289" i="26" s="1"/>
  <c r="AS280" i="26"/>
  <c r="R280" i="26"/>
  <c r="R283" i="26" s="1"/>
  <c r="AO267" i="26"/>
  <c r="I267" i="26"/>
  <c r="I270" i="26" s="1"/>
  <c r="AY261" i="26"/>
  <c r="AY264" i="26" s="1"/>
  <c r="AM261" i="26"/>
  <c r="AM264" i="26" s="1"/>
  <c r="AC261" i="26"/>
  <c r="J261" i="26"/>
  <c r="J264" i="26" s="1"/>
  <c r="AW255" i="26"/>
  <c r="AW258" i="26" s="1"/>
  <c r="AM255" i="26"/>
  <c r="AM258" i="26" s="1"/>
  <c r="AC255" i="26"/>
  <c r="AC258" i="26" s="1"/>
  <c r="H255" i="26"/>
  <c r="H258" i="26" s="1"/>
  <c r="AX249" i="26"/>
  <c r="AP249" i="26"/>
  <c r="AH249" i="26"/>
  <c r="AH252" i="26" s="1"/>
  <c r="Q249" i="26"/>
  <c r="Q252" i="26" s="1"/>
  <c r="I249" i="26"/>
  <c r="I252" i="26"/>
  <c r="AT243" i="26"/>
  <c r="AT246" i="26" s="1"/>
  <c r="AL243" i="26"/>
  <c r="AL246" i="26" s="1"/>
  <c r="AD243" i="26"/>
  <c r="AD246" i="26" s="1"/>
  <c r="M243" i="26"/>
  <c r="M246" i="26" s="1"/>
  <c r="AX237" i="26"/>
  <c r="AP237" i="26"/>
  <c r="AH237" i="26"/>
  <c r="Q237" i="26"/>
  <c r="Q240" i="26" s="1"/>
  <c r="I237" i="26"/>
  <c r="I240" i="26" s="1"/>
  <c r="AX225" i="26"/>
  <c r="AX228" i="26" s="1"/>
  <c r="AP225" i="26"/>
  <c r="AP228" i="26" s="1"/>
  <c r="AH225" i="26"/>
  <c r="AH228" i="26" s="1"/>
  <c r="Q225" i="26"/>
  <c r="Q228" i="26" s="1"/>
  <c r="I225" i="26"/>
  <c r="AX219" i="26"/>
  <c r="AX222" i="26" s="1"/>
  <c r="AH219" i="26"/>
  <c r="AH222" i="26" s="1"/>
  <c r="Q219" i="26"/>
  <c r="Q222" i="26" s="1"/>
  <c r="I219" i="26"/>
  <c r="I222" i="26" s="1"/>
  <c r="AS213" i="26"/>
  <c r="AS216" i="26" s="1"/>
  <c r="AK213" i="26"/>
  <c r="AK216" i="26" s="1"/>
  <c r="AC213" i="26"/>
  <c r="AC216" i="26" s="1"/>
  <c r="L213" i="26"/>
  <c r="L216" i="26" s="1"/>
  <c r="S335" i="26"/>
  <c r="S338" i="26" s="1"/>
  <c r="P329" i="26"/>
  <c r="P332" i="26" s="1"/>
  <c r="AT310" i="26"/>
  <c r="AT313" i="26" s="1"/>
  <c r="H304" i="26"/>
  <c r="H307" i="26" s="1"/>
  <c r="AZ298" i="26"/>
  <c r="AZ301" i="26" s="1"/>
  <c r="AP292" i="26"/>
  <c r="AP295" i="26" s="1"/>
  <c r="AI286" i="26"/>
  <c r="AI289" i="26" s="1"/>
  <c r="AR280" i="26"/>
  <c r="L280" i="26"/>
  <c r="L283" i="26" s="1"/>
  <c r="AY267" i="26"/>
  <c r="AN267" i="26"/>
  <c r="R267" i="26"/>
  <c r="R270" i="26" s="1"/>
  <c r="H267" i="26"/>
  <c r="H270" i="26"/>
  <c r="AX261" i="26"/>
  <c r="AX264" i="26" s="1"/>
  <c r="AL261" i="26"/>
  <c r="AL264" i="26"/>
  <c r="S261" i="26"/>
  <c r="S264" i="26" s="1"/>
  <c r="I261" i="26"/>
  <c r="I264" i="26" s="1"/>
  <c r="AV255" i="26"/>
  <c r="AV258" i="26"/>
  <c r="AL255" i="26"/>
  <c r="AL258" i="26" s="1"/>
  <c r="S255" i="26"/>
  <c r="S258" i="26" s="1"/>
  <c r="AW249" i="26"/>
  <c r="AO249" i="26"/>
  <c r="AG249" i="26"/>
  <c r="P249" i="26"/>
  <c r="P252" i="26"/>
  <c r="H249" i="26"/>
  <c r="H252" i="26" s="1"/>
  <c r="AS243" i="26"/>
  <c r="AS246" i="26" s="1"/>
  <c r="AK243" i="26"/>
  <c r="AK246" i="26" s="1"/>
  <c r="AC243" i="26"/>
  <c r="AC246" i="26" s="1"/>
  <c r="L243" i="26"/>
  <c r="L246" i="26" s="1"/>
  <c r="AW237" i="26"/>
  <c r="AG237" i="26"/>
  <c r="P237" i="26"/>
  <c r="P240" i="26" s="1"/>
  <c r="H237" i="26"/>
  <c r="H240" i="26"/>
  <c r="AS310" i="26"/>
  <c r="AS313" i="26"/>
  <c r="AT298" i="26"/>
  <c r="AT301" i="26" s="1"/>
  <c r="AO292" i="26"/>
  <c r="AO295" i="26" s="1"/>
  <c r="AF286" i="26"/>
  <c r="AF289" i="26" s="1"/>
  <c r="AQ280" i="26"/>
  <c r="K280" i="26"/>
  <c r="K283" i="26" s="1"/>
  <c r="M273" i="26"/>
  <c r="AX267" i="26"/>
  <c r="AM267" i="26"/>
  <c r="Q267" i="26"/>
  <c r="AU261" i="26"/>
  <c r="AU264" i="26" s="1"/>
  <c r="AK261" i="26"/>
  <c r="AK264" i="26" s="1"/>
  <c r="R261" i="26"/>
  <c r="R264" i="26" s="1"/>
  <c r="AK255" i="26"/>
  <c r="AK258" i="26" s="1"/>
  <c r="P255" i="26"/>
  <c r="AV249" i="26"/>
  <c r="AN249" i="26"/>
  <c r="AF249" i="26"/>
  <c r="O249" i="26"/>
  <c r="O252" i="26" s="1"/>
  <c r="AZ243" i="26"/>
  <c r="AZ246" i="26" s="1"/>
  <c r="AR243" i="26"/>
  <c r="AJ243" i="26"/>
  <c r="AJ246" i="26" s="1"/>
  <c r="S243" i="26"/>
  <c r="S246" i="26" s="1"/>
  <c r="K243" i="26"/>
  <c r="K246" i="26" s="1"/>
  <c r="AV237" i="26"/>
  <c r="AF237" i="26"/>
  <c r="O237" i="26"/>
  <c r="O240" i="26" s="1"/>
  <c r="Q231" i="26"/>
  <c r="I231" i="26"/>
  <c r="AM310" i="26"/>
  <c r="AM313" i="26" s="1"/>
  <c r="AS298" i="26"/>
  <c r="AS301" i="26" s="1"/>
  <c r="P292" i="26"/>
  <c r="P295" i="26" s="1"/>
  <c r="AE286" i="26"/>
  <c r="AE289" i="26" s="1"/>
  <c r="AK280" i="26"/>
  <c r="J280" i="26"/>
  <c r="J283" i="26" s="1"/>
  <c r="AW267" i="26"/>
  <c r="AI267" i="26"/>
  <c r="P267" i="26"/>
  <c r="AT261" i="26"/>
  <c r="AT264" i="26" s="1"/>
  <c r="AJ261" i="26"/>
  <c r="AJ264" i="26" s="1"/>
  <c r="Q261" i="26"/>
  <c r="Q264" i="26" s="1"/>
  <c r="AJ255" i="26"/>
  <c r="AJ258" i="26" s="1"/>
  <c r="O255" i="26"/>
  <c r="O258" i="26" s="1"/>
  <c r="AU249" i="26"/>
  <c r="AM249" i="26"/>
  <c r="AE249" i="26"/>
  <c r="N249" i="26"/>
  <c r="N252" i="26" s="1"/>
  <c r="AY243" i="26"/>
  <c r="AY246" i="26" s="1"/>
  <c r="AQ243" i="26"/>
  <c r="AQ246" i="26" s="1"/>
  <c r="R243" i="26"/>
  <c r="R246" i="26" s="1"/>
  <c r="J243" i="26"/>
  <c r="J246" i="26" s="1"/>
  <c r="AU237" i="26"/>
  <c r="AE237" i="26"/>
  <c r="N237" i="26"/>
  <c r="N240" i="26" s="1"/>
  <c r="P231" i="26"/>
  <c r="P234" i="26" s="1"/>
  <c r="H231" i="26"/>
  <c r="H234" i="26"/>
  <c r="M310" i="26"/>
  <c r="M313" i="26" s="1"/>
  <c r="AC280" i="26"/>
  <c r="AF267" i="26"/>
  <c r="AS261" i="26"/>
  <c r="AS264" i="26" s="1"/>
  <c r="L261" i="26"/>
  <c r="L264" i="26" s="1"/>
  <c r="AG255" i="26"/>
  <c r="AG258" i="26"/>
  <c r="AT249" i="26"/>
  <c r="S249" i="26"/>
  <c r="S252" i="26"/>
  <c r="AP243" i="26"/>
  <c r="AP246" i="26" s="1"/>
  <c r="O243" i="26"/>
  <c r="O246" i="26"/>
  <c r="AJ237" i="26"/>
  <c r="AU225" i="26"/>
  <c r="AU228" i="26" s="1"/>
  <c r="P225" i="26"/>
  <c r="P228" i="26" s="1"/>
  <c r="AO219" i="26"/>
  <c r="AO222" i="26" s="1"/>
  <c r="AE219" i="26"/>
  <c r="AE222" i="26" s="1"/>
  <c r="L219" i="26"/>
  <c r="L222" i="26" s="1"/>
  <c r="AZ213" i="26"/>
  <c r="AZ216" i="26" s="1"/>
  <c r="AP213" i="26"/>
  <c r="AP216" i="26" s="1"/>
  <c r="AF213" i="26"/>
  <c r="AF216" i="26" s="1"/>
  <c r="K213" i="26"/>
  <c r="K216" i="26" s="1"/>
  <c r="AW207" i="26"/>
  <c r="AW210" i="26"/>
  <c r="AO207" i="26"/>
  <c r="AO210" i="26" s="1"/>
  <c r="AG207" i="26"/>
  <c r="AG210" i="26" s="1"/>
  <c r="P207" i="26"/>
  <c r="P210" i="26" s="1"/>
  <c r="H207" i="26"/>
  <c r="H210" i="26" s="1"/>
  <c r="AZ201" i="26"/>
  <c r="AZ204" i="26" s="1"/>
  <c r="AR201" i="26"/>
  <c r="AR204" i="26" s="1"/>
  <c r="AJ201" i="26"/>
  <c r="AJ204" i="26" s="1"/>
  <c r="S201" i="26"/>
  <c r="S204" i="26" s="1"/>
  <c r="K201" i="26"/>
  <c r="K204" i="26" s="1"/>
  <c r="AT195" i="26"/>
  <c r="AT198" i="26" s="1"/>
  <c r="AL195" i="26"/>
  <c r="AL198" i="26" s="1"/>
  <c r="AD195" i="26"/>
  <c r="AD198" i="26" s="1"/>
  <c r="M195" i="26"/>
  <c r="M198" i="26" s="1"/>
  <c r="AW189" i="26"/>
  <c r="AW192" i="26" s="1"/>
  <c r="AO189" i="26"/>
  <c r="AO192" i="26" s="1"/>
  <c r="AG189" i="26"/>
  <c r="AG192" i="26" s="1"/>
  <c r="P189" i="26"/>
  <c r="P192" i="26" s="1"/>
  <c r="H189" i="26"/>
  <c r="H192" i="26" s="1"/>
  <c r="AT183" i="26"/>
  <c r="AT186" i="26" s="1"/>
  <c r="AL183" i="26"/>
  <c r="AL186" i="26" s="1"/>
  <c r="AD183" i="26"/>
  <c r="AD186" i="26" s="1"/>
  <c r="M183" i="26"/>
  <c r="M186" i="26" s="1"/>
  <c r="AY177" i="26"/>
  <c r="AY180" i="26" s="1"/>
  <c r="AQ177" i="26"/>
  <c r="AQ180" i="26" s="1"/>
  <c r="AI177" i="26"/>
  <c r="AI180" i="26" s="1"/>
  <c r="R177" i="26"/>
  <c r="R180" i="26" s="1"/>
  <c r="J177" i="26"/>
  <c r="J180" i="26" s="1"/>
  <c r="AU171" i="26"/>
  <c r="AU174" i="26" s="1"/>
  <c r="AM171" i="26"/>
  <c r="AM174" i="26" s="1"/>
  <c r="AE171" i="26"/>
  <c r="AE174" i="26" s="1"/>
  <c r="N171" i="26"/>
  <c r="N174" i="26" s="1"/>
  <c r="AI316" i="26"/>
  <c r="AI319" i="26" s="1"/>
  <c r="L310" i="26"/>
  <c r="L313" i="26" s="1"/>
  <c r="O267" i="26"/>
  <c r="O270" i="26" s="1"/>
  <c r="AR261" i="26"/>
  <c r="AR264" i="26" s="1"/>
  <c r="AF255" i="26"/>
  <c r="AF258" i="26" s="1"/>
  <c r="AS249" i="26"/>
  <c r="M249" i="26"/>
  <c r="M252" i="26" s="1"/>
  <c r="AO243" i="26"/>
  <c r="AO246" i="26"/>
  <c r="I243" i="26"/>
  <c r="I246" i="26" s="1"/>
  <c r="AD237" i="26"/>
  <c r="AT225" i="26"/>
  <c r="AT228" i="26" s="1"/>
  <c r="O225" i="26"/>
  <c r="O228" i="26" s="1"/>
  <c r="AZ219" i="26"/>
  <c r="AZ222" i="26" s="1"/>
  <c r="AN219" i="26"/>
  <c r="AN222" i="26" s="1"/>
  <c r="AD219" i="26"/>
  <c r="AD222" i="26" s="1"/>
  <c r="K219" i="26"/>
  <c r="K222" i="26" s="1"/>
  <c r="AY213" i="26"/>
  <c r="AY216" i="26" s="1"/>
  <c r="AO213" i="26"/>
  <c r="AO216" i="26" s="1"/>
  <c r="AE213" i="26"/>
  <c r="AE216" i="26" s="1"/>
  <c r="J213" i="26"/>
  <c r="J216" i="26" s="1"/>
  <c r="AV207" i="26"/>
  <c r="AV210" i="26" s="1"/>
  <c r="AN207" i="26"/>
  <c r="AN210" i="26" s="1"/>
  <c r="AF207" i="26"/>
  <c r="AF210" i="26" s="1"/>
  <c r="O207" i="26"/>
  <c r="O210" i="26" s="1"/>
  <c r="AY201" i="26"/>
  <c r="AY204" i="26" s="1"/>
  <c r="AQ201" i="26"/>
  <c r="AQ204" i="26" s="1"/>
  <c r="AI201" i="26"/>
  <c r="AI204" i="26" s="1"/>
  <c r="R201" i="26"/>
  <c r="R204" i="26" s="1"/>
  <c r="I201" i="26"/>
  <c r="I204" i="26" s="1"/>
  <c r="AS195" i="26"/>
  <c r="AS198" i="26" s="1"/>
  <c r="AK195" i="26"/>
  <c r="AK198" i="26" s="1"/>
  <c r="AC195" i="26"/>
  <c r="AC198" i="26" s="1"/>
  <c r="L195" i="26"/>
  <c r="L198" i="26" s="1"/>
  <c r="AV189" i="26"/>
  <c r="AV192" i="26" s="1"/>
  <c r="AN189" i="26"/>
  <c r="AN192" i="26" s="1"/>
  <c r="AF189" i="26"/>
  <c r="AF192" i="26" s="1"/>
  <c r="O189" i="26"/>
  <c r="O192" i="26" s="1"/>
  <c r="AS183" i="26"/>
  <c r="AS186" i="26" s="1"/>
  <c r="AK183" i="26"/>
  <c r="AK186" i="26" s="1"/>
  <c r="AC183" i="26"/>
  <c r="AC186" i="26" s="1"/>
  <c r="L183" i="26"/>
  <c r="L186" i="26" s="1"/>
  <c r="AX177" i="26"/>
  <c r="AX180" i="26" s="1"/>
  <c r="AP177" i="26"/>
  <c r="AP180" i="26" s="1"/>
  <c r="AH177" i="26"/>
  <c r="AH180" i="26" s="1"/>
  <c r="Q177" i="26"/>
  <c r="Q180" i="26" s="1"/>
  <c r="I177" i="26"/>
  <c r="I180" i="26" s="1"/>
  <c r="AT171" i="26"/>
  <c r="AT174" i="26" s="1"/>
  <c r="AL171" i="26"/>
  <c r="AL174" i="26" s="1"/>
  <c r="AD171" i="26"/>
  <c r="AD174" i="26" s="1"/>
  <c r="M171" i="26"/>
  <c r="M174" i="26" s="1"/>
  <c r="AU286" i="26"/>
  <c r="AU289" i="26" s="1"/>
  <c r="N267" i="26"/>
  <c r="N270" i="26" s="1"/>
  <c r="AQ261" i="26"/>
  <c r="AQ264" i="26" s="1"/>
  <c r="AE255" i="26"/>
  <c r="AE258" i="26" s="1"/>
  <c r="AR249" i="26"/>
  <c r="L249" i="26"/>
  <c r="L252" i="26" s="1"/>
  <c r="AN243" i="26"/>
  <c r="AN246" i="26" s="1"/>
  <c r="H243" i="26"/>
  <c r="H246" i="26" s="1"/>
  <c r="AZ237" i="26"/>
  <c r="AC237" i="26"/>
  <c r="O231" i="26"/>
  <c r="O234" i="26" s="1"/>
  <c r="AS225" i="26"/>
  <c r="AS228" i="26" s="1"/>
  <c r="AG225" i="26"/>
  <c r="AG228" i="26" s="1"/>
  <c r="N225" i="26"/>
  <c r="N228" i="26" s="1"/>
  <c r="AW219" i="26"/>
  <c r="AW222" i="26" s="1"/>
  <c r="AM219" i="26"/>
  <c r="AM222" i="26" s="1"/>
  <c r="AC219" i="26"/>
  <c r="AC222" i="26" s="1"/>
  <c r="H219" i="26"/>
  <c r="H222" i="26" s="1"/>
  <c r="AX213" i="26"/>
  <c r="AX216" i="26" s="1"/>
  <c r="AN213" i="26"/>
  <c r="AN216" i="26" s="1"/>
  <c r="S213" i="26"/>
  <c r="S216" i="26" s="1"/>
  <c r="I213" i="26"/>
  <c r="I216" i="26" s="1"/>
  <c r="AU207" i="26"/>
  <c r="AU210" i="26" s="1"/>
  <c r="AM207" i="26"/>
  <c r="AM210" i="26" s="1"/>
  <c r="AE207" i="26"/>
  <c r="AE210" i="26" s="1"/>
  <c r="N207" i="26"/>
  <c r="N210" i="26" s="1"/>
  <c r="AX201" i="26"/>
  <c r="AX204" i="26" s="1"/>
  <c r="AP201" i="26"/>
  <c r="AP204" i="26" s="1"/>
  <c r="AH201" i="26"/>
  <c r="AH204" i="26" s="1"/>
  <c r="Q201" i="26"/>
  <c r="Q204" i="26" s="1"/>
  <c r="H201" i="26"/>
  <c r="H204" i="26" s="1"/>
  <c r="AZ195" i="26"/>
  <c r="AZ198" i="26" s="1"/>
  <c r="AR195" i="26"/>
  <c r="AR198" i="26" s="1"/>
  <c r="AJ195" i="26"/>
  <c r="AJ198" i="26" s="1"/>
  <c r="S195" i="26"/>
  <c r="S198" i="26" s="1"/>
  <c r="K195" i="26"/>
  <c r="K198" i="26" s="1"/>
  <c r="AU189" i="26"/>
  <c r="AU192" i="26" s="1"/>
  <c r="AM189" i="26"/>
  <c r="AM192" i="26" s="1"/>
  <c r="AE189" i="26"/>
  <c r="AE192" i="26" s="1"/>
  <c r="N189" i="26"/>
  <c r="N192" i="26" s="1"/>
  <c r="AZ183" i="26"/>
  <c r="AZ186" i="26" s="1"/>
  <c r="AR183" i="26"/>
  <c r="AR186" i="26" s="1"/>
  <c r="AJ183" i="26"/>
  <c r="AJ186" i="26" s="1"/>
  <c r="S183" i="26"/>
  <c r="S186" i="26" s="1"/>
  <c r="K183" i="26"/>
  <c r="K186" i="26" s="1"/>
  <c r="AW177" i="26"/>
  <c r="AW180" i="26" s="1"/>
  <c r="AO177" i="26"/>
  <c r="AO180" i="26" s="1"/>
  <c r="AG177" i="26"/>
  <c r="AG180" i="26" s="1"/>
  <c r="P177" i="26"/>
  <c r="P180" i="26" s="1"/>
  <c r="H177" i="26"/>
  <c r="H180" i="26" s="1"/>
  <c r="AS171" i="26"/>
  <c r="AS174" i="26" s="1"/>
  <c r="S341" i="26"/>
  <c r="S344" i="26" s="1"/>
  <c r="AC298" i="26"/>
  <c r="AC301" i="26" s="1"/>
  <c r="L286" i="26"/>
  <c r="L289" i="26" s="1"/>
  <c r="K273" i="26"/>
  <c r="K276" i="26" s="1"/>
  <c r="AV267" i="26"/>
  <c r="K267" i="26"/>
  <c r="K270" i="26" s="1"/>
  <c r="AI261" i="26"/>
  <c r="AI264" i="26" s="1"/>
  <c r="N255" i="26"/>
  <c r="N258" i="26" s="1"/>
  <c r="AL249" i="26"/>
  <c r="K249" i="26"/>
  <c r="K252" i="26" s="1"/>
  <c r="AH243" i="26"/>
  <c r="AH246" i="26" s="1"/>
  <c r="AT237" i="26"/>
  <c r="S237" i="26"/>
  <c r="S240" i="26" s="1"/>
  <c r="AR225" i="26"/>
  <c r="AR228" i="26" s="1"/>
  <c r="AF225" i="26"/>
  <c r="AF228" i="26" s="1"/>
  <c r="M225" i="26"/>
  <c r="AV219" i="26"/>
  <c r="AV222" i="26" s="1"/>
  <c r="AL219" i="26"/>
  <c r="AL222" i="26" s="1"/>
  <c r="S219" i="26"/>
  <c r="S222" i="26"/>
  <c r="AW213" i="26"/>
  <c r="AW216" i="26" s="1"/>
  <c r="AM213" i="26"/>
  <c r="AM216" i="26"/>
  <c r="R213" i="26"/>
  <c r="R216" i="26" s="1"/>
  <c r="H213" i="26"/>
  <c r="H216" i="26" s="1"/>
  <c r="AT207" i="26"/>
  <c r="AT210" i="26"/>
  <c r="AL207" i="26"/>
  <c r="AL210" i="26" s="1"/>
  <c r="AD207" i="26"/>
  <c r="AD210" i="26"/>
  <c r="M207" i="26"/>
  <c r="M210" i="26" s="1"/>
  <c r="AW201" i="26"/>
  <c r="AW204" i="26" s="1"/>
  <c r="AG201" i="26"/>
  <c r="AG204" i="26"/>
  <c r="P201" i="26"/>
  <c r="P204" i="26" s="1"/>
  <c r="AY195" i="26"/>
  <c r="AY198" i="26"/>
  <c r="AQ195" i="26"/>
  <c r="AQ198" i="26" s="1"/>
  <c r="AI195" i="26"/>
  <c r="AI198" i="26" s="1"/>
  <c r="R195" i="26"/>
  <c r="R198" i="26"/>
  <c r="J195" i="26"/>
  <c r="J198" i="26" s="1"/>
  <c r="AT189" i="26"/>
  <c r="AT192" i="26"/>
  <c r="AL189" i="26"/>
  <c r="AL192" i="26" s="1"/>
  <c r="AD189" i="26"/>
  <c r="AD192" i="26" s="1"/>
  <c r="M189" i="26"/>
  <c r="M192" i="26"/>
  <c r="S298" i="26"/>
  <c r="S301" i="26" s="1"/>
  <c r="O292" i="26"/>
  <c r="O295" i="26" s="1"/>
  <c r="K286" i="26"/>
  <c r="K289" i="26" s="1"/>
  <c r="J273" i="26"/>
  <c r="J276" i="26" s="1"/>
  <c r="AU267" i="26"/>
  <c r="AH261" i="26"/>
  <c r="AH264" i="26" s="1"/>
  <c r="M255" i="26"/>
  <c r="M258" i="26" s="1"/>
  <c r="AK249" i="26"/>
  <c r="AG243" i="26"/>
  <c r="AG246" i="26" s="1"/>
  <c r="AS237" i="26"/>
  <c r="M237" i="26"/>
  <c r="M240" i="26" s="1"/>
  <c r="M231" i="26"/>
  <c r="AO225" i="26"/>
  <c r="AO228" i="26" s="1"/>
  <c r="AE225" i="26"/>
  <c r="AE228" i="26" s="1"/>
  <c r="L225" i="26"/>
  <c r="AU219" i="26"/>
  <c r="AU222" i="26"/>
  <c r="AK219" i="26"/>
  <c r="AK222" i="26" s="1"/>
  <c r="P219" i="26"/>
  <c r="P222" i="26" s="1"/>
  <c r="AV213" i="26"/>
  <c r="AV216" i="26" s="1"/>
  <c r="AJ213" i="26"/>
  <c r="AJ216" i="26"/>
  <c r="Q213" i="26"/>
  <c r="Q216" i="26"/>
  <c r="AS207" i="26"/>
  <c r="AS210" i="26" s="1"/>
  <c r="AK207" i="26"/>
  <c r="AK210" i="26" s="1"/>
  <c r="AC207" i="26"/>
  <c r="AC210" i="26" s="1"/>
  <c r="L207" i="26"/>
  <c r="L210" i="26"/>
  <c r="AV201" i="26"/>
  <c r="AV204" i="26" s="1"/>
  <c r="AN201" i="26"/>
  <c r="AN204" i="26" s="1"/>
  <c r="AF201" i="26"/>
  <c r="AF204" i="26" s="1"/>
  <c r="O201" i="26"/>
  <c r="O204" i="26" s="1"/>
  <c r="AX195" i="26"/>
  <c r="AX198" i="26"/>
  <c r="AP195" i="26"/>
  <c r="AP198" i="26" s="1"/>
  <c r="AH195" i="26"/>
  <c r="AH198" i="26" s="1"/>
  <c r="Q195" i="26"/>
  <c r="Q198" i="26" s="1"/>
  <c r="I195" i="26"/>
  <c r="I198" i="26" s="1"/>
  <c r="AN304" i="26"/>
  <c r="AN307" i="26"/>
  <c r="AJ280" i="26"/>
  <c r="Q243" i="26"/>
  <c r="Q246" i="26" s="1"/>
  <c r="AC225" i="26"/>
  <c r="AC228" i="26" s="1"/>
  <c r="AR219" i="26"/>
  <c r="AR222" i="26" s="1"/>
  <c r="AH213" i="26"/>
  <c r="AH216" i="26" s="1"/>
  <c r="AJ207" i="26"/>
  <c r="AJ210" i="26" s="1"/>
  <c r="I207" i="26"/>
  <c r="I210" i="26" s="1"/>
  <c r="AD201" i="26"/>
  <c r="N195" i="26"/>
  <c r="N198" i="26" s="1"/>
  <c r="AQ189" i="26"/>
  <c r="AQ192" i="26" s="1"/>
  <c r="R189" i="26"/>
  <c r="R192" i="26" s="1"/>
  <c r="AV183" i="26"/>
  <c r="AV186" i="26" s="1"/>
  <c r="N183" i="26"/>
  <c r="N186" i="26" s="1"/>
  <c r="AU177" i="26"/>
  <c r="AJ177" i="26"/>
  <c r="AJ180" i="26" s="1"/>
  <c r="M177" i="26"/>
  <c r="M180" i="26" s="1"/>
  <c r="AW171" i="26"/>
  <c r="Q171" i="26"/>
  <c r="Q174" i="26"/>
  <c r="AW165" i="26"/>
  <c r="AW168" i="26" s="1"/>
  <c r="AO165" i="26"/>
  <c r="AO168" i="26" s="1"/>
  <c r="AG165" i="26"/>
  <c r="AG168" i="26" s="1"/>
  <c r="P165" i="26"/>
  <c r="P168" i="26" s="1"/>
  <c r="H165" i="26"/>
  <c r="H168" i="26" s="1"/>
  <c r="AU159" i="26"/>
  <c r="AU162" i="26" s="1"/>
  <c r="AM159" i="26"/>
  <c r="AM162" i="26" s="1"/>
  <c r="AE159" i="26"/>
  <c r="AE162" i="26" s="1"/>
  <c r="N159" i="26"/>
  <c r="N162" i="26" s="1"/>
  <c r="AS153" i="26"/>
  <c r="AS156" i="26" s="1"/>
  <c r="AC153" i="26"/>
  <c r="AC156" i="26" s="1"/>
  <c r="L153" i="26"/>
  <c r="L156" i="26" s="1"/>
  <c r="AY147" i="26"/>
  <c r="AQ147" i="26"/>
  <c r="AQ150" i="26" s="1"/>
  <c r="R147" i="26"/>
  <c r="R150" i="26"/>
  <c r="J147" i="26"/>
  <c r="J150" i="26" s="1"/>
  <c r="AT135" i="26"/>
  <c r="AT138" i="26" s="1"/>
  <c r="AL135" i="26"/>
  <c r="AL138" i="26" s="1"/>
  <c r="AD135" i="26"/>
  <c r="AD138" i="26" s="1"/>
  <c r="M135" i="26"/>
  <c r="M138" i="26" s="1"/>
  <c r="AV129" i="26"/>
  <c r="AV132" i="26" s="1"/>
  <c r="AN129" i="26"/>
  <c r="AN132" i="26" s="1"/>
  <c r="AF129" i="26"/>
  <c r="AF132" i="26" s="1"/>
  <c r="O129" i="26"/>
  <c r="O132" i="26" s="1"/>
  <c r="AW123" i="26"/>
  <c r="AW126" i="26"/>
  <c r="AO123" i="26"/>
  <c r="AO126" i="26" s="1"/>
  <c r="AG123" i="26"/>
  <c r="P123" i="26"/>
  <c r="P126" i="26" s="1"/>
  <c r="H123" i="26"/>
  <c r="H126" i="26" s="1"/>
  <c r="AY117" i="26"/>
  <c r="AY120" i="26"/>
  <c r="AQ117" i="26"/>
  <c r="AQ120" i="26" s="1"/>
  <c r="AI117" i="26"/>
  <c r="AI120" i="26" s="1"/>
  <c r="R117" i="26"/>
  <c r="R120" i="26" s="1"/>
  <c r="J117" i="26"/>
  <c r="J120" i="26" s="1"/>
  <c r="AS111" i="26"/>
  <c r="AS114" i="26" s="1"/>
  <c r="AK111" i="26"/>
  <c r="AK114" i="26" s="1"/>
  <c r="AC111" i="26"/>
  <c r="AC114" i="26" s="1"/>
  <c r="L111" i="26"/>
  <c r="L114" i="26" s="1"/>
  <c r="AU105" i="26"/>
  <c r="AU108" i="26" s="1"/>
  <c r="AM105" i="26"/>
  <c r="AM108" i="26" s="1"/>
  <c r="AE105" i="26"/>
  <c r="AE108" i="26" s="1"/>
  <c r="N105" i="26"/>
  <c r="N108" i="26" s="1"/>
  <c r="AW99" i="26"/>
  <c r="AO99" i="26"/>
  <c r="AO102" i="26" s="1"/>
  <c r="AG99" i="26"/>
  <c r="AG102" i="26" s="1"/>
  <c r="P99" i="26"/>
  <c r="P102" i="26" s="1"/>
  <c r="H99" i="26"/>
  <c r="H102" i="26" s="1"/>
  <c r="AY93" i="26"/>
  <c r="AY96" i="26"/>
  <c r="H292" i="26"/>
  <c r="H295" i="26" s="1"/>
  <c r="AI280" i="26"/>
  <c r="AZ249" i="26"/>
  <c r="P243" i="26"/>
  <c r="P246" i="26" s="1"/>
  <c r="AZ225" i="26"/>
  <c r="AZ228" i="26"/>
  <c r="S225" i="26"/>
  <c r="S228" i="26" s="1"/>
  <c r="AJ219" i="26"/>
  <c r="AJ222" i="26" s="1"/>
  <c r="AG213" i="26"/>
  <c r="AG216" i="26"/>
  <c r="AI207" i="26"/>
  <c r="AI210" i="26" s="1"/>
  <c r="AU201" i="26"/>
  <c r="AU204" i="26"/>
  <c r="AC201" i="26"/>
  <c r="AC204" i="26" s="1"/>
  <c r="AN195" i="26"/>
  <c r="AN198" i="26" s="1"/>
  <c r="H195" i="26"/>
  <c r="H198" i="26"/>
  <c r="AP189" i="26"/>
  <c r="AP192" i="26" s="1"/>
  <c r="Q189" i="26"/>
  <c r="Q192" i="26"/>
  <c r="AU183" i="26"/>
  <c r="AU186" i="26" s="1"/>
  <c r="J183" i="26"/>
  <c r="J186" i="26" s="1"/>
  <c r="AT177" i="26"/>
  <c r="AT180" i="26"/>
  <c r="AF177" i="26"/>
  <c r="AF180" i="26" s="1"/>
  <c r="L177" i="26"/>
  <c r="L180" i="26"/>
  <c r="AV171" i="26"/>
  <c r="AV174" i="26" s="1"/>
  <c r="AI171" i="26"/>
  <c r="AI174" i="26" s="1"/>
  <c r="P171" i="26"/>
  <c r="P174" i="26"/>
  <c r="AV165" i="26"/>
  <c r="AV168" i="26" s="1"/>
  <c r="AN165" i="26"/>
  <c r="AN168" i="26"/>
  <c r="AF165" i="26"/>
  <c r="AF168" i="26" s="1"/>
  <c r="O165" i="26"/>
  <c r="O168" i="26" s="1"/>
  <c r="AT159" i="26"/>
  <c r="AT162" i="26"/>
  <c r="AL159" i="26"/>
  <c r="AL162" i="26" s="1"/>
  <c r="AD159" i="26"/>
  <c r="AD162" i="26"/>
  <c r="M159" i="26"/>
  <c r="M162" i="26" s="1"/>
  <c r="AZ153" i="26"/>
  <c r="AZ156" i="26" s="1"/>
  <c r="AR153" i="26"/>
  <c r="AR156" i="26"/>
  <c r="S153" i="26"/>
  <c r="S156" i="26" s="1"/>
  <c r="K153" i="26"/>
  <c r="K156" i="26"/>
  <c r="AX147" i="26"/>
  <c r="AP147" i="26"/>
  <c r="Q147" i="26"/>
  <c r="Q150" i="26" s="1"/>
  <c r="I147" i="26"/>
  <c r="I150" i="26" s="1"/>
  <c r="AS135" i="26"/>
  <c r="AS138" i="26" s="1"/>
  <c r="AK135" i="26"/>
  <c r="AK138" i="26" s="1"/>
  <c r="AC135" i="26"/>
  <c r="L135" i="26"/>
  <c r="L138" i="26" s="1"/>
  <c r="AU129" i="26"/>
  <c r="AU132" i="26" s="1"/>
  <c r="AM129" i="26"/>
  <c r="AM132" i="26" s="1"/>
  <c r="AE129" i="26"/>
  <c r="AE132" i="26" s="1"/>
  <c r="N129" i="26"/>
  <c r="N132" i="26" s="1"/>
  <c r="AV123" i="26"/>
  <c r="AV126" i="26" s="1"/>
  <c r="AN123" i="26"/>
  <c r="AN126" i="26" s="1"/>
  <c r="AF123" i="26"/>
  <c r="AF126" i="26"/>
  <c r="O123" i="26"/>
  <c r="O126" i="26" s="1"/>
  <c r="AX117" i="26"/>
  <c r="AX120" i="26" s="1"/>
  <c r="AP117" i="26"/>
  <c r="AP120" i="26" s="1"/>
  <c r="AH117" i="26"/>
  <c r="AH120" i="26" s="1"/>
  <c r="Q117" i="26"/>
  <c r="Q120" i="26" s="1"/>
  <c r="I117" i="26"/>
  <c r="I120" i="26" s="1"/>
  <c r="AZ111" i="26"/>
  <c r="AZ114" i="26" s="1"/>
  <c r="AR111" i="26"/>
  <c r="AR114" i="26" s="1"/>
  <c r="AJ111" i="26"/>
  <c r="AJ114" i="26" s="1"/>
  <c r="S111" i="26"/>
  <c r="S114" i="26" s="1"/>
  <c r="K111" i="26"/>
  <c r="K114" i="26" s="1"/>
  <c r="AT105" i="26"/>
  <c r="AT108" i="26" s="1"/>
  <c r="AL105" i="26"/>
  <c r="AL108" i="26" s="1"/>
  <c r="AD105" i="26"/>
  <c r="AD108" i="26" s="1"/>
  <c r="M105" i="26"/>
  <c r="M108" i="26"/>
  <c r="AV99" i="26"/>
  <c r="AV102" i="26" s="1"/>
  <c r="AN99" i="26"/>
  <c r="AN102" i="26" s="1"/>
  <c r="AF99" i="26"/>
  <c r="AF102" i="26" s="1"/>
  <c r="O99" i="26"/>
  <c r="O102" i="26" s="1"/>
  <c r="AJ249" i="26"/>
  <c r="Q48" i="4" s="1"/>
  <c r="AR237" i="26"/>
  <c r="AW225" i="26"/>
  <c r="AW228" i="26" s="1"/>
  <c r="K225" i="26"/>
  <c r="AG219" i="26"/>
  <c r="AG222" i="26" s="1"/>
  <c r="P213" i="26"/>
  <c r="P216" i="26" s="1"/>
  <c r="AZ207" i="26"/>
  <c r="AZ210" i="26" s="1"/>
  <c r="AH207" i="26"/>
  <c r="AH210" i="26" s="1"/>
  <c r="AT201" i="26"/>
  <c r="AT204" i="26"/>
  <c r="N201" i="26"/>
  <c r="N204" i="26" s="1"/>
  <c r="AM195" i="26"/>
  <c r="AM198" i="26" s="1"/>
  <c r="AK189" i="26"/>
  <c r="AK192" i="26" s="1"/>
  <c r="L189" i="26"/>
  <c r="L192" i="26" s="1"/>
  <c r="AQ183" i="26"/>
  <c r="AQ186" i="26"/>
  <c r="AF183" i="26"/>
  <c r="AF186" i="26" s="1"/>
  <c r="I183" i="26"/>
  <c r="I186" i="26" s="1"/>
  <c r="AS177" i="26"/>
  <c r="AS180" i="26" s="1"/>
  <c r="AE177" i="26"/>
  <c r="AE180" i="26" s="1"/>
  <c r="K177" i="26"/>
  <c r="K180" i="26" s="1"/>
  <c r="AR171" i="26"/>
  <c r="AR174" i="26" s="1"/>
  <c r="O171" i="26"/>
  <c r="O174" i="26" s="1"/>
  <c r="AU165" i="26"/>
  <c r="AU168" i="26" s="1"/>
  <c r="AM165" i="26"/>
  <c r="AM168" i="26" s="1"/>
  <c r="AE165" i="26"/>
  <c r="AE168" i="26" s="1"/>
  <c r="N165" i="26"/>
  <c r="N168" i="26" s="1"/>
  <c r="AS159" i="26"/>
  <c r="AS162" i="26" s="1"/>
  <c r="AK159" i="26"/>
  <c r="AK162" i="26" s="1"/>
  <c r="AC159" i="26"/>
  <c r="AC162" i="26"/>
  <c r="L159" i="26"/>
  <c r="L162" i="26" s="1"/>
  <c r="AY153" i="26"/>
  <c r="AY156" i="26" s="1"/>
  <c r="AQ153" i="26"/>
  <c r="AQ156" i="26" s="1"/>
  <c r="R153" i="26"/>
  <c r="R156" i="26" s="1"/>
  <c r="J153" i="26"/>
  <c r="J156" i="26" s="1"/>
  <c r="AW147" i="26"/>
  <c r="AO147" i="26"/>
  <c r="AO150" i="26" s="1"/>
  <c r="P147" i="26"/>
  <c r="P150" i="26" s="1"/>
  <c r="H147" i="26"/>
  <c r="H150" i="26" s="1"/>
  <c r="AZ135" i="26"/>
  <c r="AZ138" i="26" s="1"/>
  <c r="AR135" i="26"/>
  <c r="AJ135" i="26"/>
  <c r="AJ138" i="26" s="1"/>
  <c r="S135" i="26"/>
  <c r="S138" i="26" s="1"/>
  <c r="K135" i="26"/>
  <c r="K138" i="26" s="1"/>
  <c r="AT129" i="26"/>
  <c r="AT132" i="26" s="1"/>
  <c r="AL129" i="26"/>
  <c r="AL132" i="26" s="1"/>
  <c r="AD129" i="26"/>
  <c r="AD132" i="26" s="1"/>
  <c r="M129" i="26"/>
  <c r="M132" i="26" s="1"/>
  <c r="AU123" i="26"/>
  <c r="AU126" i="26" s="1"/>
  <c r="AM123" i="26"/>
  <c r="AM126" i="26" s="1"/>
  <c r="AE123" i="26"/>
  <c r="AE126" i="26"/>
  <c r="N123" i="26"/>
  <c r="N126" i="26" s="1"/>
  <c r="AW117" i="26"/>
  <c r="AW120" i="26" s="1"/>
  <c r="AO117" i="26"/>
  <c r="AO120" i="26" s="1"/>
  <c r="AG117" i="26"/>
  <c r="AG120" i="26" s="1"/>
  <c r="P117" i="26"/>
  <c r="P120" i="26" s="1"/>
  <c r="H117" i="26"/>
  <c r="H120" i="26" s="1"/>
  <c r="AY111" i="26"/>
  <c r="AY114" i="26" s="1"/>
  <c r="AQ111" i="26"/>
  <c r="AQ114" i="26" s="1"/>
  <c r="AI111" i="26"/>
  <c r="AI114" i="26" s="1"/>
  <c r="R111" i="26"/>
  <c r="R114" i="26" s="1"/>
  <c r="J111" i="26"/>
  <c r="J114" i="26" s="1"/>
  <c r="AQ267" i="26"/>
  <c r="AD249" i="26"/>
  <c r="AL237" i="26"/>
  <c r="AV225" i="26"/>
  <c r="AV228" i="26" s="1"/>
  <c r="H225" i="26"/>
  <c r="H228" i="26" s="1"/>
  <c r="AF219" i="26"/>
  <c r="AF222" i="26" s="1"/>
  <c r="O213" i="26"/>
  <c r="O216" i="26" s="1"/>
  <c r="AY207" i="26"/>
  <c r="AY210" i="26" s="1"/>
  <c r="S207" i="26"/>
  <c r="S210" i="26" s="1"/>
  <c r="AS201" i="26"/>
  <c r="AS204" i="26" s="1"/>
  <c r="M201" i="26"/>
  <c r="M204" i="26" s="1"/>
  <c r="AG195" i="26"/>
  <c r="AG198" i="26" s="1"/>
  <c r="AZ189" i="26"/>
  <c r="AZ192" i="26" s="1"/>
  <c r="AJ189" i="26"/>
  <c r="AJ192" i="26" s="1"/>
  <c r="K189" i="26"/>
  <c r="K192" i="26" s="1"/>
  <c r="AP183" i="26"/>
  <c r="AP186" i="26" s="1"/>
  <c r="AE183" i="26"/>
  <c r="AE186" i="26" s="1"/>
  <c r="H183" i="26"/>
  <c r="H186" i="26" s="1"/>
  <c r="AR177" i="26"/>
  <c r="AR180" i="26" s="1"/>
  <c r="AD177" i="26"/>
  <c r="AD180" i="26" s="1"/>
  <c r="AQ171" i="26"/>
  <c r="AQ174" i="26" s="1"/>
  <c r="AG171" i="26"/>
  <c r="AG174" i="26" s="1"/>
  <c r="L171" i="26"/>
  <c r="L174" i="26" s="1"/>
  <c r="AT165" i="26"/>
  <c r="AL165" i="26"/>
  <c r="AL168" i="26" s="1"/>
  <c r="AD165" i="26"/>
  <c r="AD168" i="26" s="1"/>
  <c r="M165" i="26"/>
  <c r="M168" i="26" s="1"/>
  <c r="AZ159" i="26"/>
  <c r="AZ162" i="26" s="1"/>
  <c r="AR159" i="26"/>
  <c r="AJ159" i="26"/>
  <c r="AJ162" i="26" s="1"/>
  <c r="S159" i="26"/>
  <c r="S162" i="26" s="1"/>
  <c r="K159" i="26"/>
  <c r="K162" i="26" s="1"/>
  <c r="AX153" i="26"/>
  <c r="AX156" i="26" s="1"/>
  <c r="AP153" i="26"/>
  <c r="AP156" i="26" s="1"/>
  <c r="AH153" i="26"/>
  <c r="AH156" i="26" s="1"/>
  <c r="Q153" i="26"/>
  <c r="Q156" i="26" s="1"/>
  <c r="I153" i="26"/>
  <c r="I156" i="26" s="1"/>
  <c r="AV147" i="26"/>
  <c r="AN147" i="26"/>
  <c r="O147" i="26"/>
  <c r="O150" i="26" s="1"/>
  <c r="R141" i="26"/>
  <c r="J141" i="26"/>
  <c r="AY135" i="26"/>
  <c r="AY138" i="26"/>
  <c r="AQ135" i="26"/>
  <c r="AQ138" i="26" s="1"/>
  <c r="AI135" i="26"/>
  <c r="AI138" i="26" s="1"/>
  <c r="R135" i="26"/>
  <c r="R138" i="26" s="1"/>
  <c r="J135" i="26"/>
  <c r="J138" i="26" s="1"/>
  <c r="AS129" i="26"/>
  <c r="AS132" i="26" s="1"/>
  <c r="AK129" i="26"/>
  <c r="AK132" i="26" s="1"/>
  <c r="AC129" i="26"/>
  <c r="AC132" i="26" s="1"/>
  <c r="L129" i="26"/>
  <c r="L132" i="26" s="1"/>
  <c r="AT123" i="26"/>
  <c r="AT126" i="26" s="1"/>
  <c r="J286" i="26"/>
  <c r="J289" i="26"/>
  <c r="AH267" i="26"/>
  <c r="AH270" i="26" s="1"/>
  <c r="AE261" i="26"/>
  <c r="AO255" i="26"/>
  <c r="AO258" i="26" s="1"/>
  <c r="AC249" i="26"/>
  <c r="AX243" i="26"/>
  <c r="AX246" i="26" s="1"/>
  <c r="AK237" i="26"/>
  <c r="O219" i="26"/>
  <c r="O222" i="26" s="1"/>
  <c r="AU213" i="26"/>
  <c r="AU216" i="26" s="1"/>
  <c r="N213" i="26"/>
  <c r="N216" i="26"/>
  <c r="AX207" i="26"/>
  <c r="AX210" i="26"/>
  <c r="R207" i="26"/>
  <c r="R210" i="26" s="1"/>
  <c r="AM201" i="26"/>
  <c r="AM204" i="26" s="1"/>
  <c r="L201" i="26"/>
  <c r="L204" i="26" s="1"/>
  <c r="AF195" i="26"/>
  <c r="AF198" i="26"/>
  <c r="AY189" i="26"/>
  <c r="AY192" i="26" s="1"/>
  <c r="AI189" i="26"/>
  <c r="AI192" i="26" s="1"/>
  <c r="J189" i="26"/>
  <c r="J192" i="26" s="1"/>
  <c r="AO183" i="26"/>
  <c r="AO186" i="26" s="1"/>
  <c r="R183" i="26"/>
  <c r="R186" i="26" s="1"/>
  <c r="AN177" i="26"/>
  <c r="AN180" i="26" s="1"/>
  <c r="AC177" i="26"/>
  <c r="AC180" i="26" s="1"/>
  <c r="AP171" i="26"/>
  <c r="AP174" i="26" s="1"/>
  <c r="AF171" i="26"/>
  <c r="AF174" i="26" s="1"/>
  <c r="K171" i="26"/>
  <c r="AS165" i="26"/>
  <c r="AS168" i="26" s="1"/>
  <c r="AK165" i="26"/>
  <c r="AK168" i="26" s="1"/>
  <c r="AC165" i="26"/>
  <c r="AC168" i="26" s="1"/>
  <c r="L165" i="26"/>
  <c r="L168" i="26"/>
  <c r="AY159" i="26"/>
  <c r="AY162" i="26" s="1"/>
  <c r="AQ159" i="26"/>
  <c r="AQ162" i="26" s="1"/>
  <c r="R159" i="26"/>
  <c r="R162" i="26" s="1"/>
  <c r="J159" i="26"/>
  <c r="J162" i="26" s="1"/>
  <c r="AW153" i="26"/>
  <c r="AW156" i="26"/>
  <c r="AO153" i="26"/>
  <c r="AO156" i="26" s="1"/>
  <c r="AG153" i="26"/>
  <c r="AG156" i="26" s="1"/>
  <c r="P153" i="26"/>
  <c r="P156" i="26" s="1"/>
  <c r="H153" i="26"/>
  <c r="H156" i="26"/>
  <c r="AU147" i="26"/>
  <c r="AM147" i="26"/>
  <c r="N147" i="26"/>
  <c r="N150" i="26" s="1"/>
  <c r="AX135" i="26"/>
  <c r="AX138" i="26" s="1"/>
  <c r="M261" i="26"/>
  <c r="M264" i="26" s="1"/>
  <c r="AW243" i="26"/>
  <c r="AW246" i="26" s="1"/>
  <c r="L237" i="26"/>
  <c r="L240" i="26" s="1"/>
  <c r="AM225" i="26"/>
  <c r="Q207" i="26"/>
  <c r="Q210" i="26"/>
  <c r="P195" i="26"/>
  <c r="P198" i="26" s="1"/>
  <c r="P183" i="26"/>
  <c r="P186" i="26" s="1"/>
  <c r="AL177" i="26"/>
  <c r="AL180" i="26" s="1"/>
  <c r="S171" i="26"/>
  <c r="S174" i="26"/>
  <c r="AQ165" i="26"/>
  <c r="AQ168" i="26" s="1"/>
  <c r="K165" i="26"/>
  <c r="K168" i="26" s="1"/>
  <c r="AV159" i="26"/>
  <c r="AV162" i="26" s="1"/>
  <c r="P159" i="26"/>
  <c r="P162" i="26" s="1"/>
  <c r="AU153" i="26"/>
  <c r="AU156" i="26" s="1"/>
  <c r="O153" i="26"/>
  <c r="O156" i="26" s="1"/>
  <c r="AR147" i="26"/>
  <c r="L147" i="26"/>
  <c r="L150" i="26" s="1"/>
  <c r="P141" i="26"/>
  <c r="AH135" i="26"/>
  <c r="AH138" i="26" s="1"/>
  <c r="I135" i="26"/>
  <c r="I138" i="26" s="1"/>
  <c r="AR129" i="26"/>
  <c r="AR132" i="26" s="1"/>
  <c r="S129" i="26"/>
  <c r="S132" i="26" s="1"/>
  <c r="AS123" i="26"/>
  <c r="AS126" i="26" s="1"/>
  <c r="AH123" i="26"/>
  <c r="K123" i="26"/>
  <c r="AR117" i="26"/>
  <c r="AR120" i="26" s="1"/>
  <c r="AD117" i="26"/>
  <c r="AD120" i="26" s="1"/>
  <c r="AN111" i="26"/>
  <c r="AN114" i="26" s="1"/>
  <c r="Q111" i="26"/>
  <c r="Q114" i="26" s="1"/>
  <c r="AR105" i="26"/>
  <c r="AR108" i="26" s="1"/>
  <c r="AH105" i="26"/>
  <c r="AH108" i="26" s="1"/>
  <c r="O105" i="26"/>
  <c r="O108" i="26"/>
  <c r="AR99" i="26"/>
  <c r="AR102" i="26" s="1"/>
  <c r="AH99" i="26"/>
  <c r="AH102" i="26"/>
  <c r="M99" i="26"/>
  <c r="M102" i="26" s="1"/>
  <c r="AS93" i="26"/>
  <c r="AS96" i="26" s="1"/>
  <c r="AK93" i="26"/>
  <c r="AK96" i="26" s="1"/>
  <c r="AC93" i="26"/>
  <c r="AC96" i="26" s="1"/>
  <c r="L93" i="26"/>
  <c r="L96" i="26" s="1"/>
  <c r="AU87" i="26"/>
  <c r="AU90" i="26" s="1"/>
  <c r="AM87" i="26"/>
  <c r="AM90" i="26" s="1"/>
  <c r="AE87" i="26"/>
  <c r="AE90" i="26"/>
  <c r="N87" i="26"/>
  <c r="N90" i="26" s="1"/>
  <c r="AW81" i="26"/>
  <c r="AW84" i="26" s="1"/>
  <c r="AO81" i="26"/>
  <c r="AO84" i="26" s="1"/>
  <c r="AG81" i="26"/>
  <c r="AG84" i="26" s="1"/>
  <c r="P81" i="26"/>
  <c r="P84" i="26"/>
  <c r="H81" i="26"/>
  <c r="H84" i="26" s="1"/>
  <c r="AY75" i="26"/>
  <c r="AY78" i="26"/>
  <c r="AQ75" i="26"/>
  <c r="AQ78" i="26" s="1"/>
  <c r="AI75" i="26"/>
  <c r="AI78" i="26" s="1"/>
  <c r="R75" i="26"/>
  <c r="R78" i="26" s="1"/>
  <c r="J75" i="26"/>
  <c r="J78" i="26" s="1"/>
  <c r="AS69" i="26"/>
  <c r="AS72" i="26" s="1"/>
  <c r="AK69" i="26"/>
  <c r="AK72" i="26" s="1"/>
  <c r="AC69" i="26"/>
  <c r="AC72" i="26" s="1"/>
  <c r="L69" i="26"/>
  <c r="L72" i="26"/>
  <c r="AU63" i="26"/>
  <c r="AM63" i="26"/>
  <c r="AE63" i="26"/>
  <c r="AE66" i="26" s="1"/>
  <c r="N63" i="26"/>
  <c r="N66" i="26" s="1"/>
  <c r="AT57" i="26"/>
  <c r="AL57" i="26"/>
  <c r="AL60" i="26" s="1"/>
  <c r="AD57" i="26"/>
  <c r="M57" i="26"/>
  <c r="M60" i="26" s="1"/>
  <c r="AZ45" i="26"/>
  <c r="AZ48" i="26"/>
  <c r="S45" i="26"/>
  <c r="S48" i="26" s="1"/>
  <c r="K45" i="26"/>
  <c r="K48" i="26" s="1"/>
  <c r="AV243" i="26"/>
  <c r="AV246" i="26" s="1"/>
  <c r="K237" i="26"/>
  <c r="K240" i="26" s="1"/>
  <c r="K207" i="26"/>
  <c r="K210" i="26" s="1"/>
  <c r="O195" i="26"/>
  <c r="O198" i="26" s="1"/>
  <c r="AX189" i="26"/>
  <c r="AX192" i="26" s="1"/>
  <c r="AY183" i="26"/>
  <c r="AY186" i="26" s="1"/>
  <c r="O183" i="26"/>
  <c r="O186" i="26" s="1"/>
  <c r="AK177" i="26"/>
  <c r="AK180" i="26" s="1"/>
  <c r="AZ171" i="26"/>
  <c r="AZ174" i="26" s="1"/>
  <c r="R171" i="26"/>
  <c r="R174" i="26" s="1"/>
  <c r="AP165" i="26"/>
  <c r="AP168" i="26"/>
  <c r="J165" i="26"/>
  <c r="J168" i="26" s="1"/>
  <c r="AP159" i="26"/>
  <c r="AP162" i="26" s="1"/>
  <c r="O159" i="26"/>
  <c r="O162" i="26" s="1"/>
  <c r="AT153" i="26"/>
  <c r="AT156" i="26" s="1"/>
  <c r="N153" i="26"/>
  <c r="N156" i="26"/>
  <c r="AL147" i="26"/>
  <c r="K147" i="26"/>
  <c r="K150" i="26"/>
  <c r="R144" i="26"/>
  <c r="O141" i="26"/>
  <c r="AW135" i="26"/>
  <c r="AW138" i="26" s="1"/>
  <c r="AG135" i="26"/>
  <c r="AG138" i="26" s="1"/>
  <c r="H135" i="26"/>
  <c r="H138" i="26" s="1"/>
  <c r="AQ129" i="26"/>
  <c r="AQ132" i="26"/>
  <c r="R129" i="26"/>
  <c r="R132" i="26" s="1"/>
  <c r="AR123" i="26"/>
  <c r="AR126" i="26" s="1"/>
  <c r="AD123" i="26"/>
  <c r="AD126" i="26" s="1"/>
  <c r="J123" i="26"/>
  <c r="AN117" i="26"/>
  <c r="AN120" i="26" s="1"/>
  <c r="AC117" i="26"/>
  <c r="AC120" i="26" s="1"/>
  <c r="AX111" i="26"/>
  <c r="AM111" i="26"/>
  <c r="AM114" i="26" s="1"/>
  <c r="P111" i="26"/>
  <c r="P114" i="26"/>
  <c r="AQ105" i="26"/>
  <c r="AQ108" i="26" s="1"/>
  <c r="AG105" i="26"/>
  <c r="AG108" i="26" s="1"/>
  <c r="L105" i="26"/>
  <c r="L108" i="26" s="1"/>
  <c r="AQ99" i="26"/>
  <c r="AQ102" i="26" s="1"/>
  <c r="AE99" i="26"/>
  <c r="AE102" i="26" s="1"/>
  <c r="L99" i="26"/>
  <c r="L102" i="26" s="1"/>
  <c r="AR93" i="26"/>
  <c r="AR96" i="26" s="1"/>
  <c r="AJ93" i="26"/>
  <c r="AJ96" i="26" s="1"/>
  <c r="S93" i="26"/>
  <c r="S96" i="26" s="1"/>
  <c r="K93" i="26"/>
  <c r="K96" i="26" s="1"/>
  <c r="AT87" i="26"/>
  <c r="AT90" i="26" s="1"/>
  <c r="AL87" i="26"/>
  <c r="AL90" i="26" s="1"/>
  <c r="AD87" i="26"/>
  <c r="AD90" i="26" s="1"/>
  <c r="M87" i="26"/>
  <c r="M90" i="26" s="1"/>
  <c r="AV81" i="26"/>
  <c r="AV84" i="26" s="1"/>
  <c r="AN81" i="26"/>
  <c r="AN84" i="26" s="1"/>
  <c r="AF81" i="26"/>
  <c r="AF84" i="26" s="1"/>
  <c r="O81" i="26"/>
  <c r="O84" i="26" s="1"/>
  <c r="AX75" i="26"/>
  <c r="AX78" i="26" s="1"/>
  <c r="AP75" i="26"/>
  <c r="AP78" i="26"/>
  <c r="AH75" i="26"/>
  <c r="AH78" i="26" s="1"/>
  <c r="Q75" i="26"/>
  <c r="Q78" i="26" s="1"/>
  <c r="I75" i="26"/>
  <c r="AZ69" i="26"/>
  <c r="AZ72" i="26" s="1"/>
  <c r="AR69" i="26"/>
  <c r="AR72" i="26"/>
  <c r="AJ69" i="26"/>
  <c r="AJ72" i="26" s="1"/>
  <c r="S69" i="26"/>
  <c r="S72" i="26" s="1"/>
  <c r="K69" i="26"/>
  <c r="K72" i="26" s="1"/>
  <c r="AT63" i="26"/>
  <c r="AL63" i="26"/>
  <c r="AD63" i="26"/>
  <c r="M63" i="26"/>
  <c r="M66" i="26" s="1"/>
  <c r="AS57" i="26"/>
  <c r="Z16" i="4" s="1"/>
  <c r="AK57" i="26"/>
  <c r="AC57" i="26"/>
  <c r="L57" i="26"/>
  <c r="L60" i="26" s="1"/>
  <c r="AY45" i="26"/>
  <c r="AY48" i="26"/>
  <c r="R45" i="26"/>
  <c r="R48" i="26"/>
  <c r="J45" i="26"/>
  <c r="L255" i="26"/>
  <c r="L258" i="26" s="1"/>
  <c r="AF243" i="26"/>
  <c r="AD225" i="26"/>
  <c r="AD228" i="26" s="1"/>
  <c r="J207" i="26"/>
  <c r="J210" i="26" s="1"/>
  <c r="AS189" i="26"/>
  <c r="AX183" i="26"/>
  <c r="AX186" i="26" s="1"/>
  <c r="S177" i="26"/>
  <c r="S180" i="26" s="1"/>
  <c r="AY171" i="26"/>
  <c r="AY174" i="26" s="1"/>
  <c r="J171" i="26"/>
  <c r="J174" i="26" s="1"/>
  <c r="I165" i="26"/>
  <c r="I168" i="26" s="1"/>
  <c r="AO159" i="26"/>
  <c r="AO162" i="26" s="1"/>
  <c r="I159" i="26"/>
  <c r="I162" i="26" s="1"/>
  <c r="AN153" i="26"/>
  <c r="AN156" i="26" s="1"/>
  <c r="M153" i="26"/>
  <c r="M156" i="26" s="1"/>
  <c r="AK147" i="26"/>
  <c r="AV135" i="26"/>
  <c r="AV138" i="26" s="1"/>
  <c r="AF135" i="26"/>
  <c r="AF138" i="26" s="1"/>
  <c r="AP129" i="26"/>
  <c r="AP132" i="26" s="1"/>
  <c r="Q129" i="26"/>
  <c r="Q132" i="26" s="1"/>
  <c r="AQ123" i="26"/>
  <c r="AQ126" i="26" s="1"/>
  <c r="AC123" i="26"/>
  <c r="AC126" i="26" s="1"/>
  <c r="I123" i="26"/>
  <c r="AM117" i="26"/>
  <c r="AM120" i="26" s="1"/>
  <c r="S117" i="26"/>
  <c r="S120" i="26" s="1"/>
  <c r="AW111" i="26"/>
  <c r="AW114" i="26"/>
  <c r="AL111" i="26"/>
  <c r="AL114" i="26" s="1"/>
  <c r="O111" i="26"/>
  <c r="O114" i="26" s="1"/>
  <c r="AZ105" i="26"/>
  <c r="AZ108" i="26" s="1"/>
  <c r="AP105" i="26"/>
  <c r="AP108" i="26"/>
  <c r="AF105" i="26"/>
  <c r="AF108" i="26" s="1"/>
  <c r="K105" i="26"/>
  <c r="K108" i="26" s="1"/>
  <c r="AZ99" i="26"/>
  <c r="AZ102" i="26" s="1"/>
  <c r="AP99" i="26"/>
  <c r="AP102" i="26" s="1"/>
  <c r="AD99" i="26"/>
  <c r="AD102" i="26" s="1"/>
  <c r="K99" i="26"/>
  <c r="K102" i="26" s="1"/>
  <c r="AZ93" i="26"/>
  <c r="AZ96" i="26" s="1"/>
  <c r="AQ93" i="26"/>
  <c r="AQ96" i="26" s="1"/>
  <c r="AI93" i="26"/>
  <c r="AI96" i="26" s="1"/>
  <c r="R93" i="26"/>
  <c r="R96" i="26" s="1"/>
  <c r="J93" i="26"/>
  <c r="J96" i="26"/>
  <c r="AS87" i="26"/>
  <c r="AS90" i="26"/>
  <c r="AK87" i="26"/>
  <c r="AC87" i="26"/>
  <c r="AC90" i="26" s="1"/>
  <c r="L87" i="26"/>
  <c r="L90" i="26" s="1"/>
  <c r="AU81" i="26"/>
  <c r="AU84" i="26" s="1"/>
  <c r="AM81" i="26"/>
  <c r="AM84" i="26" s="1"/>
  <c r="AE81" i="26"/>
  <c r="AE84" i="26" s="1"/>
  <c r="N81" i="26"/>
  <c r="N84" i="26" s="1"/>
  <c r="AW75" i="26"/>
  <c r="AW78" i="26" s="1"/>
  <c r="AO75" i="26"/>
  <c r="AO78" i="26" s="1"/>
  <c r="AG75" i="26"/>
  <c r="AG78" i="26"/>
  <c r="P75" i="26"/>
  <c r="P78" i="26" s="1"/>
  <c r="H75" i="26"/>
  <c r="H78" i="26" s="1"/>
  <c r="AY69" i="26"/>
  <c r="AY72" i="26" s="1"/>
  <c r="AQ69" i="26"/>
  <c r="AQ72" i="26"/>
  <c r="AI69" i="26"/>
  <c r="AI72" i="26" s="1"/>
  <c r="R69" i="26"/>
  <c r="R72" i="26" s="1"/>
  <c r="J69" i="26"/>
  <c r="J72" i="26" s="1"/>
  <c r="AS63" i="26"/>
  <c r="AS66" i="26" s="1"/>
  <c r="AK63" i="26"/>
  <c r="AC63" i="26"/>
  <c r="L63" i="26"/>
  <c r="L66" i="26" s="1"/>
  <c r="AZ57" i="26"/>
  <c r="AR57" i="26"/>
  <c r="AJ57" i="26"/>
  <c r="AJ60" i="26" s="1"/>
  <c r="S57" i="26"/>
  <c r="S60" i="26" s="1"/>
  <c r="K57" i="26"/>
  <c r="K60" i="26" s="1"/>
  <c r="AX45" i="26"/>
  <c r="AX51" i="26" s="1"/>
  <c r="Q45" i="26"/>
  <c r="Q48" i="26" s="1"/>
  <c r="N310" i="26"/>
  <c r="N313" i="26" s="1"/>
  <c r="AG267" i="26"/>
  <c r="AL201" i="26"/>
  <c r="AL204" i="26" s="1"/>
  <c r="AR189" i="26"/>
  <c r="AR192" i="26" s="1"/>
  <c r="AW183" i="26"/>
  <c r="AW186" i="26" s="1"/>
  <c r="O177" i="26"/>
  <c r="O180" i="26" s="1"/>
  <c r="AX171" i="26"/>
  <c r="AX174" i="26" s="1"/>
  <c r="I171" i="26"/>
  <c r="I174" i="26" s="1"/>
  <c r="AI165" i="26"/>
  <c r="AI168" i="26" s="1"/>
  <c r="AN159" i="26"/>
  <c r="AN162" i="26" s="1"/>
  <c r="H159" i="26"/>
  <c r="H162" i="26" s="1"/>
  <c r="AM153" i="26"/>
  <c r="AM156" i="26" s="1"/>
  <c r="AJ147" i="26"/>
  <c r="H141" i="26"/>
  <c r="AU135" i="26"/>
  <c r="AU138" i="26" s="1"/>
  <c r="AE135" i="26"/>
  <c r="AE138" i="26" s="1"/>
  <c r="AO129" i="26"/>
  <c r="AO132" i="26" s="1"/>
  <c r="P129" i="26"/>
  <c r="P132" i="26" s="1"/>
  <c r="AP123" i="26"/>
  <c r="AP126" i="26"/>
  <c r="S123" i="26"/>
  <c r="S126" i="26" s="1"/>
  <c r="AZ117" i="26"/>
  <c r="AZ120" i="26" s="1"/>
  <c r="AL117" i="26"/>
  <c r="AL120" i="26" s="1"/>
  <c r="O117" i="26"/>
  <c r="O120" i="26" s="1"/>
  <c r="AV111" i="26"/>
  <c r="AV114" i="26"/>
  <c r="AH111" i="26"/>
  <c r="AH114" i="26" s="1"/>
  <c r="N111" i="26"/>
  <c r="N114" i="26" s="1"/>
  <c r="AY105" i="26"/>
  <c r="AY108" i="26" s="1"/>
  <c r="AO105" i="26"/>
  <c r="AO108" i="26" s="1"/>
  <c r="AC105" i="26"/>
  <c r="AC108" i="26"/>
  <c r="J105" i="26"/>
  <c r="J108" i="26" s="1"/>
  <c r="AY99" i="26"/>
  <c r="AY102" i="26" s="1"/>
  <c r="AM99" i="26"/>
  <c r="AM102" i="26" s="1"/>
  <c r="AC99" i="26"/>
  <c r="AC102" i="26" s="1"/>
  <c r="AX93" i="26"/>
  <c r="AX96" i="26" s="1"/>
  <c r="AP93" i="26"/>
  <c r="AP96" i="26" s="1"/>
  <c r="AH93" i="26"/>
  <c r="AH96" i="26" s="1"/>
  <c r="Q93" i="26"/>
  <c r="Q96" i="26" s="1"/>
  <c r="I93" i="26"/>
  <c r="I96" i="26" s="1"/>
  <c r="AZ87" i="26"/>
  <c r="AZ90" i="26" s="1"/>
  <c r="AR87" i="26"/>
  <c r="AR90" i="26" s="1"/>
  <c r="AJ87" i="26"/>
  <c r="AJ90" i="26"/>
  <c r="S87" i="26"/>
  <c r="S90" i="26" s="1"/>
  <c r="K87" i="26"/>
  <c r="K90" i="26" s="1"/>
  <c r="AT81" i="26"/>
  <c r="AT84" i="26" s="1"/>
  <c r="AL81" i="26"/>
  <c r="AL84" i="26"/>
  <c r="AD81" i="26"/>
  <c r="AD84" i="26" s="1"/>
  <c r="M81" i="26"/>
  <c r="M84" i="26" s="1"/>
  <c r="AV75" i="26"/>
  <c r="AV78" i="26" s="1"/>
  <c r="AN75" i="26"/>
  <c r="AN78" i="26" s="1"/>
  <c r="AF75" i="26"/>
  <c r="AF78" i="26" s="1"/>
  <c r="O75" i="26"/>
  <c r="O78" i="26"/>
  <c r="AX69" i="26"/>
  <c r="AX72" i="26" s="1"/>
  <c r="AP69" i="26"/>
  <c r="AP72" i="26" s="1"/>
  <c r="AH69" i="26"/>
  <c r="Q69" i="26"/>
  <c r="Q72" i="26"/>
  <c r="I69" i="26"/>
  <c r="I72" i="26"/>
  <c r="AZ63" i="26"/>
  <c r="AR63" i="26"/>
  <c r="AJ63" i="26"/>
  <c r="S63" i="26"/>
  <c r="S66" i="26" s="1"/>
  <c r="K63" i="26"/>
  <c r="AY57" i="26"/>
  <c r="AQ57" i="26"/>
  <c r="AI57" i="26"/>
  <c r="R57" i="26"/>
  <c r="R60" i="26" s="1"/>
  <c r="J57" i="26"/>
  <c r="J60" i="26" s="1"/>
  <c r="AT219" i="26"/>
  <c r="AT222" i="26" s="1"/>
  <c r="AR213" i="26"/>
  <c r="AR216" i="26" s="1"/>
  <c r="AK201" i="26"/>
  <c r="AK204" i="26" s="1"/>
  <c r="AW195" i="26"/>
  <c r="AW198" i="26" s="1"/>
  <c r="AH189" i="26"/>
  <c r="AH192" i="26" s="1"/>
  <c r="AN183" i="26"/>
  <c r="AN186" i="26"/>
  <c r="N177" i="26"/>
  <c r="N180" i="26" s="1"/>
  <c r="AO171" i="26"/>
  <c r="AO174" i="26" s="1"/>
  <c r="H171" i="26"/>
  <c r="H174" i="26" s="1"/>
  <c r="AZ165" i="26"/>
  <c r="AZ168" i="26" s="1"/>
  <c r="AH165" i="26"/>
  <c r="AH168" i="26" s="1"/>
  <c r="AH159" i="26"/>
  <c r="AH162" i="26" s="1"/>
  <c r="AL153" i="26"/>
  <c r="AL156" i="26" s="1"/>
  <c r="AD147" i="26"/>
  <c r="AP135" i="26"/>
  <c r="AP138" i="26" s="1"/>
  <c r="Q135" i="26"/>
  <c r="Q138" i="26"/>
  <c r="AZ129" i="26"/>
  <c r="AZ132" i="26" s="1"/>
  <c r="AJ129" i="26"/>
  <c r="AJ132" i="26" s="1"/>
  <c r="K129" i="26"/>
  <c r="K132" i="26" s="1"/>
  <c r="AL123" i="26"/>
  <c r="R123" i="26"/>
  <c r="R126" i="26" s="1"/>
  <c r="AV117" i="26"/>
  <c r="AV120" i="26" s="1"/>
  <c r="AK117" i="26"/>
  <c r="AK120" i="26"/>
  <c r="N117" i="26"/>
  <c r="N120" i="26"/>
  <c r="AU111" i="26"/>
  <c r="AU114" i="26" s="1"/>
  <c r="AG111" i="26"/>
  <c r="AG114" i="26" s="1"/>
  <c r="M111" i="26"/>
  <c r="M114" i="26" s="1"/>
  <c r="AX105" i="26"/>
  <c r="AX108" i="26"/>
  <c r="AN105" i="26"/>
  <c r="AN108" i="26" s="1"/>
  <c r="S105" i="26"/>
  <c r="S108" i="26" s="1"/>
  <c r="I105" i="26"/>
  <c r="I108" i="26" s="1"/>
  <c r="AX99" i="26"/>
  <c r="AX102" i="26" s="1"/>
  <c r="AL99" i="26"/>
  <c r="AL102" i="26" s="1"/>
  <c r="S99" i="26"/>
  <c r="S102" i="26" s="1"/>
  <c r="I99" i="26"/>
  <c r="I102" i="26" s="1"/>
  <c r="AW93" i="26"/>
  <c r="AW96" i="26" s="1"/>
  <c r="AO93" i="26"/>
  <c r="AO96" i="26"/>
  <c r="AG93" i="26"/>
  <c r="AG96" i="26" s="1"/>
  <c r="P93" i="26"/>
  <c r="P96" i="26"/>
  <c r="H93" i="26"/>
  <c r="H96" i="26" s="1"/>
  <c r="AY87" i="26"/>
  <c r="AY90" i="26" s="1"/>
  <c r="AQ87" i="26"/>
  <c r="AQ90" i="26" s="1"/>
  <c r="AI87" i="26"/>
  <c r="AI90" i="26" s="1"/>
  <c r="R87" i="26"/>
  <c r="R90" i="26" s="1"/>
  <c r="J87" i="26"/>
  <c r="J90" i="26" s="1"/>
  <c r="AS81" i="26"/>
  <c r="AS84" i="26" s="1"/>
  <c r="AK81" i="26"/>
  <c r="AK84" i="26"/>
  <c r="AC81" i="26"/>
  <c r="AC84" i="26" s="1"/>
  <c r="L81" i="26"/>
  <c r="L84" i="26" s="1"/>
  <c r="AU75" i="26"/>
  <c r="AU78" i="26" s="1"/>
  <c r="AM75" i="26"/>
  <c r="AM78" i="26" s="1"/>
  <c r="AE75" i="26"/>
  <c r="N75" i="26"/>
  <c r="N78" i="26" s="1"/>
  <c r="AW69" i="26"/>
  <c r="AW72" i="26"/>
  <c r="AO69" i="26"/>
  <c r="AG69" i="26"/>
  <c r="AG72" i="26" s="1"/>
  <c r="P69" i="26"/>
  <c r="P72" i="26" s="1"/>
  <c r="H69" i="26"/>
  <c r="H72" i="26"/>
  <c r="AY63" i="26"/>
  <c r="AQ63" i="26"/>
  <c r="AI63" i="26"/>
  <c r="R63" i="26"/>
  <c r="R66" i="26" s="1"/>
  <c r="J63" i="26"/>
  <c r="J66" i="26" s="1"/>
  <c r="AX57" i="26"/>
  <c r="AP57" i="26"/>
  <c r="AH57" i="26"/>
  <c r="O16" i="4" s="1"/>
  <c r="Q57" i="26"/>
  <c r="Q60" i="26" s="1"/>
  <c r="I57" i="26"/>
  <c r="I60" i="26" s="1"/>
  <c r="AX33" i="26"/>
  <c r="AE14" i="4" s="1"/>
  <c r="N39" i="26"/>
  <c r="AE39" i="26"/>
  <c r="AO39" i="26"/>
  <c r="AH45" i="26"/>
  <c r="AP45" i="26"/>
  <c r="AP48" i="26" s="1"/>
  <c r="H45" i="26"/>
  <c r="H48" i="26"/>
  <c r="AD45" i="26"/>
  <c r="P57" i="26"/>
  <c r="P60" i="26" s="1"/>
  <c r="AV57" i="26"/>
  <c r="Q63" i="26"/>
  <c r="Q66" i="26" s="1"/>
  <c r="AW63" i="26"/>
  <c r="AM69" i="26"/>
  <c r="AM72" i="26" s="1"/>
  <c r="AC75" i="26"/>
  <c r="AC78" i="26" s="1"/>
  <c r="AZ75" i="26"/>
  <c r="AZ78" i="26" s="1"/>
  <c r="J81" i="26"/>
  <c r="J84" i="26" s="1"/>
  <c r="AP81" i="26"/>
  <c r="AP84" i="26" s="1"/>
  <c r="AF87" i="26"/>
  <c r="AF90" i="26" s="1"/>
  <c r="AX87" i="26"/>
  <c r="M93" i="26"/>
  <c r="M96" i="26" s="1"/>
  <c r="AN93" i="26"/>
  <c r="AN96" i="26" s="1"/>
  <c r="AT99" i="26"/>
  <c r="AT102" i="26" s="1"/>
  <c r="R105" i="26"/>
  <c r="R108" i="26" s="1"/>
  <c r="AT111" i="26"/>
  <c r="AT114" i="26"/>
  <c r="AS117" i="26"/>
  <c r="AS120" i="26" s="1"/>
  <c r="AJ123" i="26"/>
  <c r="AX129" i="26"/>
  <c r="AX132" i="26" s="1"/>
  <c r="N135" i="26"/>
  <c r="N138" i="26" s="1"/>
  <c r="K141" i="26"/>
  <c r="S141" i="26"/>
  <c r="AC147" i="26"/>
  <c r="R165" i="26"/>
  <c r="R168" i="26" s="1"/>
  <c r="AM183" i="26"/>
  <c r="AM186" i="26" s="1"/>
  <c r="S189" i="26"/>
  <c r="S192" i="26"/>
  <c r="AV195" i="26"/>
  <c r="AV198" i="26" s="1"/>
  <c r="M219" i="26"/>
  <c r="M222" i="26" s="1"/>
  <c r="L141" i="26"/>
  <c r="L144" i="26" s="1"/>
  <c r="AH230" i="26"/>
  <c r="AH147" i="26"/>
  <c r="AI159" i="26"/>
  <c r="AI162" i="26" s="1"/>
  <c r="M141" i="26"/>
  <c r="AK153" i="26"/>
  <c r="AK156" i="26" s="1"/>
  <c r="N144" i="26"/>
  <c r="AH183" i="26"/>
  <c r="AH186" i="26" s="1"/>
  <c r="O144" i="26"/>
  <c r="AI230" i="26"/>
  <c r="AN225" i="26"/>
  <c r="J231" i="26"/>
  <c r="R231" i="26"/>
  <c r="R234" i="26" s="1"/>
  <c r="K231" i="26"/>
  <c r="S231" i="26"/>
  <c r="S234" i="26" s="1"/>
  <c r="AU348" i="26"/>
  <c r="AU274" i="26"/>
  <c r="R273" i="26"/>
  <c r="AI147" i="26"/>
  <c r="AO348" i="26"/>
  <c r="AO232" i="26"/>
  <c r="L231" i="26"/>
  <c r="AI272" i="26"/>
  <c r="AI243" i="26"/>
  <c r="AI246" i="26" s="1"/>
  <c r="AQ274" i="26"/>
  <c r="AQ348" i="26"/>
  <c r="AQ255" i="26"/>
  <c r="AQ258" i="26" s="1"/>
  <c r="O273" i="26"/>
  <c r="AN237" i="26"/>
  <c r="AO237" i="26"/>
  <c r="V19" i="4" s="1"/>
  <c r="AH321" i="26"/>
  <c r="AH280" i="26"/>
  <c r="N273" i="26"/>
  <c r="N276" i="26" s="1"/>
  <c r="AL280" i="26"/>
  <c r="L322" i="26"/>
  <c r="L325" i="26" s="1"/>
  <c r="M322" i="26"/>
  <c r="M325" i="26" s="1"/>
  <c r="O341" i="26"/>
  <c r="O344" i="26" s="1"/>
  <c r="J445" i="26"/>
  <c r="I445" i="26"/>
  <c r="AJ292" i="26"/>
  <c r="AJ295" i="26"/>
  <c r="AY321" i="26"/>
  <c r="AY310" i="26"/>
  <c r="AY313" i="26"/>
  <c r="O322" i="26"/>
  <c r="AK292" i="26"/>
  <c r="P322" i="26"/>
  <c r="P411" i="26"/>
  <c r="P268" i="26" s="1"/>
  <c r="AV268" i="26" s="1"/>
  <c r="AC78" i="4" s="1"/>
  <c r="I341" i="26"/>
  <c r="I344" i="26" s="1"/>
  <c r="Q341" i="26"/>
  <c r="K429" i="26"/>
  <c r="J429" i="26"/>
  <c r="I429" i="26"/>
  <c r="AQ329" i="26"/>
  <c r="J341" i="26"/>
  <c r="R341" i="26"/>
  <c r="AQ340" i="26"/>
  <c r="F437" i="26"/>
  <c r="AQ310" i="26"/>
  <c r="AR310" i="26"/>
  <c r="AR313" i="26" s="1"/>
  <c r="AZ310" i="26"/>
  <c r="AZ313" i="26" s="1"/>
  <c r="F393" i="26"/>
  <c r="L393" i="26" s="1"/>
  <c r="K407" i="26"/>
  <c r="J407" i="26"/>
  <c r="Y74" i="4"/>
  <c r="AC19" i="4"/>
  <c r="AN252" i="26"/>
  <c r="U48" i="4"/>
  <c r="AN270" i="26"/>
  <c r="AO270" i="26"/>
  <c r="AJ270" i="26"/>
  <c r="AN60" i="26"/>
  <c r="U16" i="4"/>
  <c r="AL270" i="26"/>
  <c r="AU270" i="26"/>
  <c r="AV252" i="26"/>
  <c r="AC48" i="4"/>
  <c r="AM270" i="26"/>
  <c r="AY270" i="26"/>
  <c r="S19" i="4"/>
  <c r="AJ252" i="26"/>
  <c r="AE252" i="26"/>
  <c r="L48" i="4"/>
  <c r="AX270" i="26"/>
  <c r="O19" i="4"/>
  <c r="Z74" i="4"/>
  <c r="AQ252" i="26"/>
  <c r="X48" i="4"/>
  <c r="AE60" i="26"/>
  <c r="L16" i="4"/>
  <c r="AC60" i="26"/>
  <c r="J16" i="4"/>
  <c r="AD252" i="26"/>
  <c r="K48" i="4"/>
  <c r="AM252" i="26"/>
  <c r="T48" i="4"/>
  <c r="AI270" i="26"/>
  <c r="O48" i="4"/>
  <c r="AY252" i="26"/>
  <c r="AF48" i="4"/>
  <c r="AC270" i="26"/>
  <c r="J75" i="4"/>
  <c r="AG66" i="26"/>
  <c r="AF252" i="26"/>
  <c r="M48" i="4"/>
  <c r="AW60" i="26"/>
  <c r="AD16" i="4"/>
  <c r="AH60" i="26"/>
  <c r="Q16" i="4"/>
  <c r="AD60" i="26"/>
  <c r="K16" i="4"/>
  <c r="AC252" i="26"/>
  <c r="J48" i="4"/>
  <c r="AU252" i="26"/>
  <c r="AB48" i="4"/>
  <c r="N19" i="4"/>
  <c r="AG252" i="26"/>
  <c r="N48" i="4"/>
  <c r="AP252" i="26"/>
  <c r="W48" i="4"/>
  <c r="AK270" i="26"/>
  <c r="R75" i="4"/>
  <c r="AP66" i="26"/>
  <c r="AT150" i="26"/>
  <c r="AP60" i="26"/>
  <c r="W16" i="4"/>
  <c r="AR60" i="26"/>
  <c r="Y16" i="4"/>
  <c r="AS60" i="26"/>
  <c r="S16" i="4"/>
  <c r="AQ270" i="26"/>
  <c r="AR252" i="26"/>
  <c r="Y48" i="4"/>
  <c r="AF270" i="26"/>
  <c r="AD19" i="4"/>
  <c r="AO252" i="26"/>
  <c r="V48" i="4"/>
  <c r="AX252" i="26"/>
  <c r="AE48" i="4"/>
  <c r="AU60" i="26"/>
  <c r="AB16" i="4"/>
  <c r="AG60" i="26"/>
  <c r="N16" i="4"/>
  <c r="AY60" i="26"/>
  <c r="AF16" i="4"/>
  <c r="AX60" i="26"/>
  <c r="AE16" i="4"/>
  <c r="AZ60" i="26"/>
  <c r="AG16" i="4"/>
  <c r="AT60" i="26"/>
  <c r="AA16" i="4"/>
  <c r="AZ252" i="26"/>
  <c r="AG48" i="4"/>
  <c r="AK252" i="26"/>
  <c r="R48" i="4"/>
  <c r="AS252" i="26"/>
  <c r="Z48" i="4"/>
  <c r="AW252" i="26"/>
  <c r="AD48" i="4"/>
  <c r="AP270" i="26"/>
  <c r="AD270" i="26"/>
  <c r="M407" i="26"/>
  <c r="M226" i="26" s="1"/>
  <c r="AN226" i="26" s="1"/>
  <c r="L407" i="26"/>
  <c r="AF66" i="26"/>
  <c r="AL66" i="26"/>
  <c r="AI66" i="26"/>
  <c r="AT66" i="26"/>
  <c r="AU66" i="26"/>
  <c r="AU150" i="26"/>
  <c r="AK240" i="26"/>
  <c r="AK273" i="26"/>
  <c r="P346" i="26"/>
  <c r="U346" i="26" s="1"/>
  <c r="P258" i="26"/>
  <c r="AH240" i="26"/>
  <c r="AH276" i="26" s="1"/>
  <c r="AH273" i="26"/>
  <c r="AS283" i="26"/>
  <c r="AQ240" i="26"/>
  <c r="AQ276" i="26" s="1"/>
  <c r="AU283" i="26"/>
  <c r="AN332" i="26"/>
  <c r="AD150" i="26"/>
  <c r="AO283" i="26"/>
  <c r="AK332" i="26"/>
  <c r="AK344" i="26" s="1"/>
  <c r="AR240" i="26"/>
  <c r="AY322" i="26"/>
  <c r="AY283" i="26"/>
  <c r="AY325" i="26" s="1"/>
  <c r="AC150" i="26"/>
  <c r="K393" i="26"/>
  <c r="J393" i="26"/>
  <c r="AY66" i="26"/>
  <c r="AJ150" i="26"/>
  <c r="AT240" i="26"/>
  <c r="AE240" i="26"/>
  <c r="AR322" i="26"/>
  <c r="AR283" i="26"/>
  <c r="AR325" i="26" s="1"/>
  <c r="AP240" i="26"/>
  <c r="AY273" i="26"/>
  <c r="AY240" i="26"/>
  <c r="AP283" i="26"/>
  <c r="AM42" i="26"/>
  <c r="AM51" i="26"/>
  <c r="AT42" i="26"/>
  <c r="AO42" i="26"/>
  <c r="AC240" i="26"/>
  <c r="AE42" i="26"/>
  <c r="AE54" i="26" s="1"/>
  <c r="AK66" i="26"/>
  <c r="AW332" i="26"/>
  <c r="AW344" i="26" s="1"/>
  <c r="AW341" i="26"/>
  <c r="K437" i="26"/>
  <c r="AL240" i="26"/>
  <c r="AQ332" i="26"/>
  <c r="AH283" i="26"/>
  <c r="AX36" i="26"/>
  <c r="AR150" i="26"/>
  <c r="AP150" i="26"/>
  <c r="AS240" i="26"/>
  <c r="AU240" i="26"/>
  <c r="AG240" i="26"/>
  <c r="AX240" i="26"/>
  <c r="AF283" i="26"/>
  <c r="AX283" i="26"/>
  <c r="AR341" i="26"/>
  <c r="AR332" i="26"/>
  <c r="AR344" i="26" s="1"/>
  <c r="AX42" i="26"/>
  <c r="AJ42" i="26"/>
  <c r="AC66" i="26"/>
  <c r="AW150" i="26"/>
  <c r="AV273" i="26"/>
  <c r="AV240" i="26"/>
  <c r="AZ51" i="26"/>
  <c r="AW66" i="26"/>
  <c r="AJ66" i="26"/>
  <c r="AJ240" i="26"/>
  <c r="AJ276" i="26" s="1"/>
  <c r="AQ283" i="26"/>
  <c r="AW273" i="26"/>
  <c r="AW240" i="26"/>
  <c r="AN283" i="26"/>
  <c r="AT332" i="26"/>
  <c r="AM332" i="26"/>
  <c r="AM344" i="26" s="1"/>
  <c r="AM341" i="26"/>
  <c r="AD42" i="26"/>
  <c r="AH231" i="26"/>
  <c r="AR66" i="26"/>
  <c r="AN150" i="26"/>
  <c r="AC283" i="26"/>
  <c r="AV332" i="26"/>
  <c r="AV283" i="26"/>
  <c r="AU332" i="26"/>
  <c r="AV66" i="26"/>
  <c r="AT322" i="26"/>
  <c r="AT283" i="26"/>
  <c r="AT325" i="26" s="1"/>
  <c r="AZ240" i="26"/>
  <c r="AW283" i="26"/>
  <c r="AO273" i="26"/>
  <c r="AO240" i="26"/>
  <c r="AK150" i="26"/>
  <c r="AD66" i="26"/>
  <c r="AV150" i="26"/>
  <c r="AI283" i="26"/>
  <c r="AK283" i="26"/>
  <c r="AF240" i="26"/>
  <c r="AD283" i="26"/>
  <c r="AO332" i="26"/>
  <c r="AO344" i="26" s="1"/>
  <c r="AO341" i="26"/>
  <c r="AC332" i="26"/>
  <c r="AC344" i="26" s="1"/>
  <c r="AC341" i="26"/>
  <c r="AG150" i="26"/>
  <c r="M9" i="15"/>
  <c r="L26" i="15"/>
  <c r="K26" i="15"/>
  <c r="J26" i="15"/>
  <c r="P10" i="15"/>
  <c r="I71" i="13"/>
  <c r="I57" i="13"/>
  <c r="I52" i="13"/>
  <c r="I51" i="13"/>
  <c r="AD70" i="2"/>
  <c r="AH98" i="2"/>
  <c r="K96" i="2"/>
  <c r="Z96" i="2"/>
  <c r="AA96" i="2"/>
  <c r="AB96" i="2"/>
  <c r="AC96" i="2"/>
  <c r="AD96" i="2"/>
  <c r="AE96" i="2"/>
  <c r="AF96" i="2"/>
  <c r="AG96" i="2"/>
  <c r="J96" i="2"/>
  <c r="AC70" i="2"/>
  <c r="AA70" i="2"/>
  <c r="Y70" i="2"/>
  <c r="O70" i="2"/>
  <c r="V16" i="11"/>
  <c r="V17" i="11"/>
  <c r="V18" i="11"/>
  <c r="V19" i="11"/>
  <c r="V20" i="11"/>
  <c r="V21" i="11"/>
  <c r="V22" i="11"/>
  <c r="V23" i="11"/>
  <c r="V24" i="11"/>
  <c r="V25" i="11"/>
  <c r="V26" i="11"/>
  <c r="V27" i="11"/>
  <c r="V28" i="11"/>
  <c r="V29" i="11"/>
  <c r="V30" i="11"/>
  <c r="V31" i="11"/>
  <c r="V32" i="11"/>
  <c r="V33" i="11"/>
  <c r="V34" i="11"/>
  <c r="V35" i="11"/>
  <c r="V36" i="11"/>
  <c r="V37" i="11"/>
  <c r="V38" i="11"/>
  <c r="V39" i="11"/>
  <c r="V40" i="11"/>
  <c r="V41" i="11"/>
  <c r="V42" i="11"/>
  <c r="V43" i="11"/>
  <c r="V44" i="11"/>
  <c r="V45" i="11"/>
  <c r="V46" i="11"/>
  <c r="V47" i="11"/>
  <c r="V48" i="11"/>
  <c r="V49" i="11"/>
  <c r="V50" i="11"/>
  <c r="V51" i="11"/>
  <c r="V52" i="11"/>
  <c r="V53" i="11"/>
  <c r="V54" i="11"/>
  <c r="V55" i="11"/>
  <c r="V56" i="11"/>
  <c r="V57" i="11"/>
  <c r="V58" i="11"/>
  <c r="V59" i="11"/>
  <c r="V62" i="11"/>
  <c r="V63" i="11"/>
  <c r="V64" i="11"/>
  <c r="V65" i="11"/>
  <c r="V66" i="11"/>
  <c r="V67" i="11"/>
  <c r="V68" i="11"/>
  <c r="L16" i="11"/>
  <c r="M16" i="11"/>
  <c r="N16" i="11"/>
  <c r="O16" i="11"/>
  <c r="AH16" i="11" s="1"/>
  <c r="P16" i="11"/>
  <c r="Q16" i="11"/>
  <c r="R16" i="11"/>
  <c r="S16" i="11"/>
  <c r="T16" i="11"/>
  <c r="U16" i="11"/>
  <c r="L17" i="11"/>
  <c r="M17" i="11"/>
  <c r="N17" i="11"/>
  <c r="O17" i="11"/>
  <c r="P17" i="11"/>
  <c r="Q17" i="11"/>
  <c r="R17" i="11"/>
  <c r="S17" i="11"/>
  <c r="T17" i="11"/>
  <c r="U17" i="11"/>
  <c r="L18" i="11"/>
  <c r="M18" i="11"/>
  <c r="N18" i="11"/>
  <c r="O18" i="11"/>
  <c r="P18" i="11"/>
  <c r="Q18" i="11"/>
  <c r="R18" i="11"/>
  <c r="S18" i="11"/>
  <c r="T18" i="11"/>
  <c r="U18" i="11"/>
  <c r="L19" i="11"/>
  <c r="M19" i="11"/>
  <c r="N19" i="11"/>
  <c r="O19" i="11"/>
  <c r="P19" i="11"/>
  <c r="Q19" i="11"/>
  <c r="R19" i="11"/>
  <c r="S19" i="11"/>
  <c r="T19" i="11"/>
  <c r="U19" i="11"/>
  <c r="L20" i="11"/>
  <c r="M20" i="11"/>
  <c r="N20" i="11"/>
  <c r="O20" i="11"/>
  <c r="P20" i="11"/>
  <c r="Q20" i="11"/>
  <c r="R20" i="11"/>
  <c r="S20" i="11"/>
  <c r="T20" i="11"/>
  <c r="U20" i="11"/>
  <c r="L21" i="11"/>
  <c r="M21" i="11"/>
  <c r="N21" i="11"/>
  <c r="O21" i="11"/>
  <c r="P21" i="11"/>
  <c r="Q21" i="11"/>
  <c r="R21" i="11"/>
  <c r="S21" i="11"/>
  <c r="T21" i="11"/>
  <c r="U21" i="11"/>
  <c r="L22" i="11"/>
  <c r="M22" i="11"/>
  <c r="N22" i="11"/>
  <c r="O22" i="11"/>
  <c r="P22" i="11"/>
  <c r="Q22" i="11"/>
  <c r="R22" i="11"/>
  <c r="S22" i="11"/>
  <c r="T22" i="11"/>
  <c r="U22" i="11"/>
  <c r="L23" i="11"/>
  <c r="M23" i="11"/>
  <c r="N23" i="11"/>
  <c r="O23" i="11"/>
  <c r="P23" i="11"/>
  <c r="Q23" i="11"/>
  <c r="R23" i="11"/>
  <c r="S23" i="11"/>
  <c r="T23" i="11"/>
  <c r="U23" i="11"/>
  <c r="L24" i="11"/>
  <c r="M24" i="11"/>
  <c r="N24" i="11"/>
  <c r="O24" i="11"/>
  <c r="AH24" i="11" s="1"/>
  <c r="P24" i="11"/>
  <c r="Q24" i="11"/>
  <c r="R24" i="11"/>
  <c r="S24" i="11"/>
  <c r="T24" i="11"/>
  <c r="U24" i="11"/>
  <c r="L25" i="11"/>
  <c r="M25" i="11"/>
  <c r="N25" i="11"/>
  <c r="O25" i="11"/>
  <c r="P25" i="11"/>
  <c r="Q25" i="11"/>
  <c r="R25" i="11"/>
  <c r="S25" i="11"/>
  <c r="T25" i="11"/>
  <c r="U25" i="11"/>
  <c r="L26" i="11"/>
  <c r="M26" i="11"/>
  <c r="N26" i="11"/>
  <c r="O26" i="11"/>
  <c r="P26" i="11"/>
  <c r="Q26" i="11"/>
  <c r="R26" i="11"/>
  <c r="S26" i="11"/>
  <c r="T26" i="11"/>
  <c r="U26" i="11"/>
  <c r="L27" i="11"/>
  <c r="M27" i="11"/>
  <c r="N27" i="11"/>
  <c r="O27" i="11"/>
  <c r="P27" i="11"/>
  <c r="Q27" i="11"/>
  <c r="R27" i="11"/>
  <c r="S27" i="11"/>
  <c r="T27" i="11"/>
  <c r="U27" i="11"/>
  <c r="L28" i="11"/>
  <c r="M28" i="11"/>
  <c r="N28" i="11"/>
  <c r="O28" i="11"/>
  <c r="P28" i="11"/>
  <c r="Q28" i="11"/>
  <c r="R28" i="11"/>
  <c r="S28" i="11"/>
  <c r="T28" i="11"/>
  <c r="U28" i="11"/>
  <c r="L29" i="11"/>
  <c r="M29" i="11"/>
  <c r="N29" i="11"/>
  <c r="O29" i="11"/>
  <c r="P29" i="11"/>
  <c r="Q29" i="11"/>
  <c r="R29" i="11"/>
  <c r="S29" i="11"/>
  <c r="T29" i="11"/>
  <c r="U29" i="11"/>
  <c r="L30" i="11"/>
  <c r="M30" i="11"/>
  <c r="N30" i="11"/>
  <c r="O30" i="11"/>
  <c r="P30" i="11"/>
  <c r="Q30" i="11"/>
  <c r="R30" i="11"/>
  <c r="S30" i="11"/>
  <c r="T30" i="11"/>
  <c r="U30" i="11"/>
  <c r="L31" i="11"/>
  <c r="M31" i="11"/>
  <c r="N31" i="11"/>
  <c r="O31" i="11"/>
  <c r="P31" i="11"/>
  <c r="Q31" i="11"/>
  <c r="R31" i="11"/>
  <c r="S31" i="11"/>
  <c r="T31" i="11"/>
  <c r="U31" i="11"/>
  <c r="L32" i="11"/>
  <c r="M32" i="11"/>
  <c r="N32" i="11"/>
  <c r="O32" i="11"/>
  <c r="AH32" i="11" s="1"/>
  <c r="P32" i="11"/>
  <c r="Q32" i="11"/>
  <c r="R32" i="11"/>
  <c r="S32" i="11"/>
  <c r="T32" i="11"/>
  <c r="U32" i="11"/>
  <c r="L33" i="11"/>
  <c r="M33" i="11"/>
  <c r="N33" i="11"/>
  <c r="O33" i="11"/>
  <c r="P33" i="11"/>
  <c r="Q33" i="11"/>
  <c r="R33" i="11"/>
  <c r="S33" i="11"/>
  <c r="T33" i="11"/>
  <c r="U33" i="11"/>
  <c r="L34" i="11"/>
  <c r="M34" i="11"/>
  <c r="N34" i="11"/>
  <c r="O34" i="11"/>
  <c r="P34" i="11"/>
  <c r="Q34" i="11"/>
  <c r="R34" i="11"/>
  <c r="S34" i="11"/>
  <c r="AH34" i="11" s="1"/>
  <c r="T34" i="11"/>
  <c r="U34" i="11"/>
  <c r="L35" i="11"/>
  <c r="M35" i="11"/>
  <c r="N35" i="11"/>
  <c r="O35" i="11"/>
  <c r="P35" i="11"/>
  <c r="Q35" i="11"/>
  <c r="R35" i="11"/>
  <c r="S35" i="11"/>
  <c r="T35" i="11"/>
  <c r="U35" i="11"/>
  <c r="L36" i="11"/>
  <c r="M36" i="11"/>
  <c r="N36" i="11"/>
  <c r="O36" i="11"/>
  <c r="P36" i="11"/>
  <c r="Q36" i="11"/>
  <c r="R36" i="11"/>
  <c r="S36" i="11"/>
  <c r="T36" i="11"/>
  <c r="U36" i="11"/>
  <c r="L37" i="11"/>
  <c r="M37" i="11"/>
  <c r="N37" i="11"/>
  <c r="O37" i="11"/>
  <c r="P37" i="11"/>
  <c r="Q37" i="11"/>
  <c r="R37" i="11"/>
  <c r="S37" i="11"/>
  <c r="T37" i="11"/>
  <c r="U37" i="11"/>
  <c r="L38" i="11"/>
  <c r="M38" i="11"/>
  <c r="N38" i="11"/>
  <c r="O38" i="11"/>
  <c r="P38" i="11"/>
  <c r="Q38" i="11"/>
  <c r="R38" i="11"/>
  <c r="S38" i="11"/>
  <c r="T38" i="11"/>
  <c r="U38" i="11"/>
  <c r="L39" i="11"/>
  <c r="M39" i="11"/>
  <c r="N39" i="11"/>
  <c r="O39" i="11"/>
  <c r="P39" i="11"/>
  <c r="Q39" i="11"/>
  <c r="R39" i="11"/>
  <c r="S39" i="11"/>
  <c r="T39" i="11"/>
  <c r="U39" i="11"/>
  <c r="L40" i="11"/>
  <c r="M40" i="11"/>
  <c r="N40" i="11"/>
  <c r="O40" i="11"/>
  <c r="AH40" i="11" s="1"/>
  <c r="P40" i="11"/>
  <c r="Q40" i="11"/>
  <c r="R40" i="11"/>
  <c r="S40" i="11"/>
  <c r="T40" i="11"/>
  <c r="U40" i="11"/>
  <c r="L41" i="11"/>
  <c r="M41" i="11"/>
  <c r="N41" i="11"/>
  <c r="O41" i="11"/>
  <c r="P41" i="11"/>
  <c r="Q41" i="11"/>
  <c r="R41" i="11"/>
  <c r="S41" i="11"/>
  <c r="T41" i="11"/>
  <c r="U41" i="11"/>
  <c r="AH41" i="11" s="1"/>
  <c r="L42" i="11"/>
  <c r="M42" i="11"/>
  <c r="N42" i="11"/>
  <c r="O42" i="11"/>
  <c r="P42" i="11"/>
  <c r="Q42" i="11"/>
  <c r="R42" i="11"/>
  <c r="S42" i="11"/>
  <c r="AH42" i="11" s="1"/>
  <c r="T42" i="11"/>
  <c r="U42" i="11"/>
  <c r="L43" i="11"/>
  <c r="M43" i="11"/>
  <c r="N43" i="11"/>
  <c r="O43" i="11"/>
  <c r="P43" i="11"/>
  <c r="Q43" i="11"/>
  <c r="AH43" i="11" s="1"/>
  <c r="R43" i="11"/>
  <c r="S43" i="11"/>
  <c r="T43" i="11"/>
  <c r="U43" i="11"/>
  <c r="L44" i="11"/>
  <c r="M44" i="11"/>
  <c r="N44" i="11"/>
  <c r="O44" i="11"/>
  <c r="P44" i="11"/>
  <c r="Q44" i="11"/>
  <c r="R44" i="11"/>
  <c r="S44" i="11"/>
  <c r="T44" i="11"/>
  <c r="U44" i="11"/>
  <c r="L45" i="11"/>
  <c r="M45" i="11"/>
  <c r="N45" i="11"/>
  <c r="O45" i="11"/>
  <c r="P45" i="11"/>
  <c r="Q45" i="11"/>
  <c r="R45" i="11"/>
  <c r="S45" i="11"/>
  <c r="T45" i="11"/>
  <c r="U45" i="11"/>
  <c r="L46" i="11"/>
  <c r="M46" i="11"/>
  <c r="N46" i="11"/>
  <c r="O46" i="11"/>
  <c r="P46" i="11"/>
  <c r="Q46" i="11"/>
  <c r="R46" i="11"/>
  <c r="S46" i="11"/>
  <c r="T46" i="11"/>
  <c r="U46" i="11"/>
  <c r="L47" i="11"/>
  <c r="M47" i="11"/>
  <c r="N47" i="11"/>
  <c r="O47" i="11"/>
  <c r="P47" i="11"/>
  <c r="Q47" i="11"/>
  <c r="R47" i="11"/>
  <c r="S47" i="11"/>
  <c r="T47" i="11"/>
  <c r="U47" i="11"/>
  <c r="L48" i="11"/>
  <c r="M48" i="11"/>
  <c r="N48" i="11"/>
  <c r="O48" i="11"/>
  <c r="AH48" i="11" s="1"/>
  <c r="P48" i="11"/>
  <c r="Q48" i="11"/>
  <c r="R48" i="11"/>
  <c r="S48" i="11"/>
  <c r="T48" i="11"/>
  <c r="U48" i="11"/>
  <c r="L49" i="11"/>
  <c r="M49" i="11"/>
  <c r="AH49" i="11" s="1"/>
  <c r="N49" i="11"/>
  <c r="O49" i="11"/>
  <c r="P49" i="11"/>
  <c r="Q49" i="11"/>
  <c r="R49" i="11"/>
  <c r="S49" i="11"/>
  <c r="T49" i="11"/>
  <c r="U49" i="11"/>
  <c r="L50" i="11"/>
  <c r="M50" i="11"/>
  <c r="N50" i="11"/>
  <c r="O50" i="11"/>
  <c r="P50" i="11"/>
  <c r="Q50" i="11"/>
  <c r="R50" i="11"/>
  <c r="S50" i="11"/>
  <c r="AH50" i="11" s="1"/>
  <c r="T50" i="11"/>
  <c r="U50" i="11"/>
  <c r="L51" i="11"/>
  <c r="M51" i="11"/>
  <c r="N51" i="11"/>
  <c r="O51" i="11"/>
  <c r="P51" i="11"/>
  <c r="Q51" i="11"/>
  <c r="AH51" i="11" s="1"/>
  <c r="R51" i="11"/>
  <c r="S51" i="11"/>
  <c r="T51" i="11"/>
  <c r="U51" i="11"/>
  <c r="L52" i="11"/>
  <c r="M52" i="11"/>
  <c r="N52" i="11"/>
  <c r="O52" i="11"/>
  <c r="AH52" i="11" s="1"/>
  <c r="P52" i="11"/>
  <c r="Q52" i="11"/>
  <c r="R52" i="11"/>
  <c r="S52" i="11"/>
  <c r="T52" i="11"/>
  <c r="U52" i="11"/>
  <c r="L53" i="11"/>
  <c r="M53" i="11"/>
  <c r="N53" i="11"/>
  <c r="O53" i="11"/>
  <c r="P53" i="11"/>
  <c r="Q53" i="11"/>
  <c r="R53" i="11"/>
  <c r="S53" i="11"/>
  <c r="T53" i="11"/>
  <c r="U53" i="11"/>
  <c r="L54" i="11"/>
  <c r="M54" i="11"/>
  <c r="N54" i="11"/>
  <c r="O54" i="11"/>
  <c r="P54" i="11"/>
  <c r="Q54" i="11"/>
  <c r="R54" i="11"/>
  <c r="S54" i="11"/>
  <c r="T54" i="11"/>
  <c r="U54" i="11"/>
  <c r="L55" i="11"/>
  <c r="M55" i="11"/>
  <c r="N55" i="11"/>
  <c r="O55" i="11"/>
  <c r="P55" i="11"/>
  <c r="Q55" i="11"/>
  <c r="R55" i="11"/>
  <c r="S55" i="11"/>
  <c r="T55" i="11"/>
  <c r="U55" i="11"/>
  <c r="L56" i="11"/>
  <c r="M56" i="11"/>
  <c r="N56" i="11"/>
  <c r="O56" i="11"/>
  <c r="AH56" i="11" s="1"/>
  <c r="P56" i="11"/>
  <c r="Q56" i="11"/>
  <c r="R56" i="11"/>
  <c r="S56" i="11"/>
  <c r="T56" i="11"/>
  <c r="U56" i="11"/>
  <c r="L57" i="11"/>
  <c r="M57" i="11"/>
  <c r="N57" i="11"/>
  <c r="O57" i="11"/>
  <c r="P57" i="11"/>
  <c r="Q57" i="11"/>
  <c r="R57" i="11"/>
  <c r="S57" i="11"/>
  <c r="T57" i="11"/>
  <c r="U57" i="11"/>
  <c r="L58" i="11"/>
  <c r="M58" i="11"/>
  <c r="N58" i="11"/>
  <c r="O58" i="11"/>
  <c r="P58" i="11"/>
  <c r="Q58" i="11"/>
  <c r="R58" i="11"/>
  <c r="S58" i="11"/>
  <c r="AH58" i="11" s="1"/>
  <c r="T58" i="11"/>
  <c r="U58" i="11"/>
  <c r="L59" i="11"/>
  <c r="M59" i="11"/>
  <c r="N59" i="11"/>
  <c r="O59" i="11"/>
  <c r="P59" i="11"/>
  <c r="Q59" i="11"/>
  <c r="R59" i="11"/>
  <c r="S59" i="11"/>
  <c r="T59" i="11"/>
  <c r="U59" i="11"/>
  <c r="L62" i="11"/>
  <c r="M62" i="11"/>
  <c r="N62" i="11"/>
  <c r="O62" i="11"/>
  <c r="AH62" i="11" s="1"/>
  <c r="P62" i="11"/>
  <c r="Q62" i="11"/>
  <c r="R62" i="11"/>
  <c r="S62" i="11"/>
  <c r="T62" i="11"/>
  <c r="U62" i="11"/>
  <c r="L63" i="11"/>
  <c r="M63" i="11"/>
  <c r="AH63" i="11" s="1"/>
  <c r="N63" i="11"/>
  <c r="O63" i="11"/>
  <c r="P63" i="11"/>
  <c r="Q63" i="11"/>
  <c r="R63" i="11"/>
  <c r="S63" i="11"/>
  <c r="T63" i="11"/>
  <c r="U63" i="11"/>
  <c r="L64" i="11"/>
  <c r="M64" i="11"/>
  <c r="N64" i="11"/>
  <c r="O64" i="11"/>
  <c r="P64" i="11"/>
  <c r="Q64" i="11"/>
  <c r="R64" i="11"/>
  <c r="S64" i="11"/>
  <c r="T64" i="11"/>
  <c r="U64" i="11"/>
  <c r="L65" i="11"/>
  <c r="M65" i="11"/>
  <c r="N65" i="11"/>
  <c r="O65" i="11"/>
  <c r="P65" i="11"/>
  <c r="Q65" i="11"/>
  <c r="AH65" i="11" s="1"/>
  <c r="R65" i="11"/>
  <c r="S65" i="11"/>
  <c r="T65" i="11"/>
  <c r="U65" i="11"/>
  <c r="L66" i="11"/>
  <c r="M66" i="11"/>
  <c r="N66" i="11"/>
  <c r="O66" i="11"/>
  <c r="AH66" i="11" s="1"/>
  <c r="P66" i="11"/>
  <c r="Q66" i="11"/>
  <c r="R66" i="11"/>
  <c r="S66" i="11"/>
  <c r="T66" i="11"/>
  <c r="U66" i="11"/>
  <c r="L67" i="11"/>
  <c r="M67" i="11"/>
  <c r="N67" i="11"/>
  <c r="O67" i="11"/>
  <c r="P67" i="11"/>
  <c r="Q67" i="11"/>
  <c r="R67" i="11"/>
  <c r="S67" i="11"/>
  <c r="T67" i="11"/>
  <c r="U67" i="11"/>
  <c r="L68" i="11"/>
  <c r="M68" i="11"/>
  <c r="N68" i="11"/>
  <c r="O68" i="11"/>
  <c r="P68" i="11"/>
  <c r="Q68" i="11"/>
  <c r="R68" i="11"/>
  <c r="S68" i="11"/>
  <c r="T68" i="11"/>
  <c r="U68" i="11"/>
  <c r="K54" i="11"/>
  <c r="K55" i="11"/>
  <c r="K56" i="11"/>
  <c r="K57" i="11"/>
  <c r="K58" i="11"/>
  <c r="K59" i="11"/>
  <c r="AH59" i="11" s="1"/>
  <c r="K62" i="11"/>
  <c r="K63" i="11"/>
  <c r="K64" i="11"/>
  <c r="K65" i="11"/>
  <c r="K66" i="11"/>
  <c r="K67" i="11"/>
  <c r="K68" i="11"/>
  <c r="K39" i="11"/>
  <c r="AH39" i="11" s="1"/>
  <c r="K40" i="11"/>
  <c r="K41" i="11"/>
  <c r="K42" i="11"/>
  <c r="K43" i="11"/>
  <c r="K44" i="11"/>
  <c r="K45" i="11"/>
  <c r="K46" i="11"/>
  <c r="K47" i="11"/>
  <c r="AH47" i="11" s="1"/>
  <c r="K48" i="11"/>
  <c r="K49" i="11"/>
  <c r="K50" i="11"/>
  <c r="K51" i="11"/>
  <c r="K52" i="11"/>
  <c r="K53" i="11"/>
  <c r="K16" i="11"/>
  <c r="K17" i="11"/>
  <c r="K18" i="11"/>
  <c r="K19" i="11"/>
  <c r="K20" i="11"/>
  <c r="K21" i="11"/>
  <c r="K22" i="11"/>
  <c r="K23" i="11"/>
  <c r="K24" i="11"/>
  <c r="K25" i="11"/>
  <c r="AH25" i="11" s="1"/>
  <c r="K26" i="11"/>
  <c r="K27" i="11"/>
  <c r="K28" i="11"/>
  <c r="K29" i="11"/>
  <c r="K30" i="11"/>
  <c r="K31" i="11"/>
  <c r="K32" i="11"/>
  <c r="K33" i="11"/>
  <c r="AH33" i="11" s="1"/>
  <c r="K34" i="11"/>
  <c r="K35" i="11"/>
  <c r="K36" i="11"/>
  <c r="K37" i="11"/>
  <c r="K38" i="11"/>
  <c r="Y79" i="5"/>
  <c r="Y96" i="2" s="1"/>
  <c r="X79" i="5"/>
  <c r="X96" i="2"/>
  <c r="W79" i="5"/>
  <c r="W96" i="2" s="1"/>
  <c r="Y78" i="5"/>
  <c r="X78" i="5"/>
  <c r="W78" i="5"/>
  <c r="V78" i="5"/>
  <c r="U78" i="5"/>
  <c r="T78" i="5"/>
  <c r="S78" i="5"/>
  <c r="AH78" i="5" s="1"/>
  <c r="R78" i="5"/>
  <c r="Q78" i="5"/>
  <c r="P78" i="5"/>
  <c r="O78" i="5"/>
  <c r="N78" i="5"/>
  <c r="M78" i="5"/>
  <c r="Y77" i="5"/>
  <c r="X77" i="5"/>
  <c r="W77" i="5"/>
  <c r="V77" i="5"/>
  <c r="U77" i="5"/>
  <c r="T77" i="5"/>
  <c r="S77" i="5"/>
  <c r="R77" i="5"/>
  <c r="Q77" i="5"/>
  <c r="P77" i="5"/>
  <c r="O77" i="5"/>
  <c r="N77" i="5"/>
  <c r="M77" i="5"/>
  <c r="Y76" i="5"/>
  <c r="X76" i="5"/>
  <c r="W76" i="5"/>
  <c r="V76" i="5"/>
  <c r="U76" i="5"/>
  <c r="T76" i="5"/>
  <c r="S76" i="5"/>
  <c r="R76" i="5"/>
  <c r="Q76" i="5"/>
  <c r="P76" i="5"/>
  <c r="O76" i="5"/>
  <c r="N76" i="5"/>
  <c r="M76" i="5"/>
  <c r="Y75" i="5"/>
  <c r="X75" i="5"/>
  <c r="W75" i="5"/>
  <c r="V75" i="5"/>
  <c r="U75" i="5"/>
  <c r="T75" i="5"/>
  <c r="S75" i="5"/>
  <c r="R75" i="5"/>
  <c r="Q75" i="5"/>
  <c r="P75" i="5"/>
  <c r="O75" i="5"/>
  <c r="N75" i="5"/>
  <c r="M75" i="5"/>
  <c r="Y74" i="5"/>
  <c r="X74" i="5"/>
  <c r="W74" i="5"/>
  <c r="V74" i="5"/>
  <c r="U74" i="5"/>
  <c r="T74" i="5"/>
  <c r="S74" i="5"/>
  <c r="R74" i="5"/>
  <c r="Q74" i="5"/>
  <c r="P74" i="5"/>
  <c r="O74" i="5"/>
  <c r="AH74" i="5" s="1"/>
  <c r="N74" i="5"/>
  <c r="M74" i="5"/>
  <c r="Y67" i="5"/>
  <c r="X67" i="5"/>
  <c r="W67" i="5"/>
  <c r="V67" i="5"/>
  <c r="U67" i="5"/>
  <c r="T67" i="5"/>
  <c r="S67" i="5"/>
  <c r="R67" i="5"/>
  <c r="Q67" i="5"/>
  <c r="P67" i="5"/>
  <c r="O67" i="5"/>
  <c r="N67" i="5"/>
  <c r="M67" i="5"/>
  <c r="Y65" i="5"/>
  <c r="X65" i="5"/>
  <c r="W65" i="5"/>
  <c r="V65" i="5"/>
  <c r="U65" i="5"/>
  <c r="T65" i="5"/>
  <c r="S65" i="5"/>
  <c r="R65" i="5"/>
  <c r="Q65" i="5"/>
  <c r="P65" i="5"/>
  <c r="O65" i="5"/>
  <c r="N65" i="5"/>
  <c r="M65" i="5"/>
  <c r="Y64" i="5"/>
  <c r="X64" i="5"/>
  <c r="W64" i="5"/>
  <c r="V64" i="5"/>
  <c r="V86" i="5" s="1"/>
  <c r="U64" i="5"/>
  <c r="T64" i="5"/>
  <c r="S64" i="5"/>
  <c r="R64" i="5"/>
  <c r="Q64" i="5"/>
  <c r="P64" i="5"/>
  <c r="O64" i="5"/>
  <c r="N64" i="5"/>
  <c r="M64" i="5"/>
  <c r="Y61" i="5"/>
  <c r="X61" i="5"/>
  <c r="W61" i="5"/>
  <c r="V61" i="5"/>
  <c r="U61" i="5"/>
  <c r="T61" i="5"/>
  <c r="S61" i="5"/>
  <c r="R61" i="5"/>
  <c r="Q61" i="5"/>
  <c r="P61" i="5"/>
  <c r="O61" i="5"/>
  <c r="N61" i="5"/>
  <c r="M61" i="5"/>
  <c r="Y60" i="5"/>
  <c r="X60" i="5"/>
  <c r="W60" i="5"/>
  <c r="V60" i="5"/>
  <c r="U60" i="5"/>
  <c r="T60" i="5"/>
  <c r="S60" i="5"/>
  <c r="R60" i="5"/>
  <c r="Q60" i="5"/>
  <c r="P60" i="5"/>
  <c r="AH60" i="5" s="1"/>
  <c r="O60" i="5"/>
  <c r="N60" i="5"/>
  <c r="M60" i="5"/>
  <c r="Y56" i="5"/>
  <c r="X56" i="5"/>
  <c r="W56" i="5"/>
  <c r="V56" i="5"/>
  <c r="U56" i="5"/>
  <c r="T56" i="5"/>
  <c r="S56" i="5"/>
  <c r="R56" i="5"/>
  <c r="Q56" i="5"/>
  <c r="P56" i="5"/>
  <c r="O56" i="5"/>
  <c r="N56" i="5"/>
  <c r="M56" i="5"/>
  <c r="Y53" i="5"/>
  <c r="X53" i="5"/>
  <c r="W53" i="5"/>
  <c r="V53" i="5"/>
  <c r="U53" i="5"/>
  <c r="T53" i="5"/>
  <c r="S53" i="5"/>
  <c r="R53" i="5"/>
  <c r="R53" i="2" s="1"/>
  <c r="Q53" i="5"/>
  <c r="P53" i="5"/>
  <c r="O53" i="5"/>
  <c r="N53" i="5"/>
  <c r="M53" i="5"/>
  <c r="Y52" i="5"/>
  <c r="X52" i="5"/>
  <c r="W52" i="5"/>
  <c r="V52" i="5"/>
  <c r="U52" i="5"/>
  <c r="T52" i="5"/>
  <c r="S52" i="5"/>
  <c r="R52" i="5"/>
  <c r="Q52" i="5"/>
  <c r="P52" i="5"/>
  <c r="O52" i="5"/>
  <c r="AH52" i="5" s="1"/>
  <c r="N52" i="5"/>
  <c r="M52" i="5"/>
  <c r="Y49" i="5"/>
  <c r="X49" i="5"/>
  <c r="W49" i="5"/>
  <c r="V49" i="5"/>
  <c r="U49" i="5"/>
  <c r="T49" i="5"/>
  <c r="S49" i="5"/>
  <c r="R49" i="5"/>
  <c r="Q49" i="5"/>
  <c r="P49" i="5"/>
  <c r="O49" i="5"/>
  <c r="N49" i="5"/>
  <c r="M49" i="5"/>
  <c r="Y48" i="5"/>
  <c r="Y48" i="2" s="1"/>
  <c r="X48" i="5"/>
  <c r="W48" i="5"/>
  <c r="V48" i="5"/>
  <c r="U48" i="5"/>
  <c r="T48" i="5"/>
  <c r="S48" i="5"/>
  <c r="R48" i="5"/>
  <c r="Q48" i="5"/>
  <c r="AH48" i="5" s="1"/>
  <c r="AH86" i="5" s="1"/>
  <c r="P48" i="5"/>
  <c r="O48" i="5"/>
  <c r="N48" i="5"/>
  <c r="M48" i="5"/>
  <c r="Y45" i="5"/>
  <c r="X45" i="5"/>
  <c r="W45" i="5"/>
  <c r="V45" i="5"/>
  <c r="V45" i="2" s="1"/>
  <c r="U45" i="5"/>
  <c r="T45" i="5"/>
  <c r="S45" i="5"/>
  <c r="R45" i="5"/>
  <c r="Q45" i="5"/>
  <c r="P45" i="5"/>
  <c r="O45" i="5"/>
  <c r="N45" i="5"/>
  <c r="M45" i="5"/>
  <c r="Y44" i="5"/>
  <c r="X44" i="5"/>
  <c r="W44" i="5"/>
  <c r="V44" i="5"/>
  <c r="U44" i="5"/>
  <c r="T44" i="5"/>
  <c r="S44" i="5"/>
  <c r="R44" i="5"/>
  <c r="Q44" i="5"/>
  <c r="P44" i="5"/>
  <c r="O44" i="5"/>
  <c r="N44" i="5"/>
  <c r="M44" i="5"/>
  <c r="Y41" i="5"/>
  <c r="X41" i="5"/>
  <c r="W41" i="5"/>
  <c r="V41" i="5"/>
  <c r="U41" i="5"/>
  <c r="T41" i="5"/>
  <c r="S41" i="5"/>
  <c r="R41" i="5"/>
  <c r="Q41" i="5"/>
  <c r="P41" i="5"/>
  <c r="AH41" i="5" s="1"/>
  <c r="O41" i="5"/>
  <c r="N41" i="5"/>
  <c r="M41" i="5"/>
  <c r="Y40" i="5"/>
  <c r="X40" i="5"/>
  <c r="W40" i="5"/>
  <c r="V40" i="5"/>
  <c r="U40" i="5"/>
  <c r="T40" i="5"/>
  <c r="S40" i="5"/>
  <c r="R40" i="5"/>
  <c r="Q40" i="5"/>
  <c r="P40" i="5"/>
  <c r="O40" i="5"/>
  <c r="N40" i="5"/>
  <c r="M40" i="5"/>
  <c r="Y37" i="5"/>
  <c r="X37" i="5"/>
  <c r="W37" i="5"/>
  <c r="Y36" i="5"/>
  <c r="X36" i="5"/>
  <c r="W36" i="5"/>
  <c r="V36" i="5"/>
  <c r="U36" i="5"/>
  <c r="T36" i="5"/>
  <c r="S36" i="5"/>
  <c r="R36" i="5"/>
  <c r="Q36" i="5"/>
  <c r="P36" i="5"/>
  <c r="O36" i="5"/>
  <c r="N36" i="5"/>
  <c r="M36" i="5"/>
  <c r="Y33" i="5"/>
  <c r="X33" i="5"/>
  <c r="W33" i="5"/>
  <c r="Y32" i="5"/>
  <c r="X32" i="5"/>
  <c r="W32" i="5"/>
  <c r="V32" i="5"/>
  <c r="U32" i="5"/>
  <c r="T32" i="5"/>
  <c r="S32" i="5"/>
  <c r="R32" i="5"/>
  <c r="Q32" i="5"/>
  <c r="P32" i="5"/>
  <c r="O32" i="5"/>
  <c r="N32" i="5"/>
  <c r="M32" i="5"/>
  <c r="Y29" i="5"/>
  <c r="X29" i="5"/>
  <c r="W29" i="5"/>
  <c r="Y28" i="5"/>
  <c r="X28" i="5"/>
  <c r="W28" i="5"/>
  <c r="Y25" i="5"/>
  <c r="X25" i="5"/>
  <c r="X25" i="2" s="1"/>
  <c r="W25" i="5"/>
  <c r="V25" i="5"/>
  <c r="U25" i="5"/>
  <c r="T25" i="5"/>
  <c r="S25" i="5"/>
  <c r="R25" i="5"/>
  <c r="Q25" i="5"/>
  <c r="P25" i="5"/>
  <c r="P25" i="2" s="1"/>
  <c r="O25" i="5"/>
  <c r="N25" i="5"/>
  <c r="M25" i="5"/>
  <c r="Y24" i="5"/>
  <c r="X24" i="5"/>
  <c r="W24" i="5"/>
  <c r="V24" i="5"/>
  <c r="U24" i="5"/>
  <c r="U86" i="5" s="1"/>
  <c r="T24" i="5"/>
  <c r="S24" i="5"/>
  <c r="R24" i="5"/>
  <c r="Q24" i="5"/>
  <c r="P24" i="5"/>
  <c r="O24" i="5"/>
  <c r="N24" i="5"/>
  <c r="M24" i="5"/>
  <c r="M86" i="5" s="1"/>
  <c r="Y20" i="5"/>
  <c r="X20" i="5"/>
  <c r="W20" i="5"/>
  <c r="V20" i="5"/>
  <c r="U20" i="5"/>
  <c r="T20" i="5"/>
  <c r="S20" i="5"/>
  <c r="R20" i="5"/>
  <c r="Q20" i="5"/>
  <c r="P20" i="5"/>
  <c r="O20" i="5"/>
  <c r="N20" i="5"/>
  <c r="M20" i="5"/>
  <c r="Y19" i="5"/>
  <c r="X19" i="5"/>
  <c r="W19" i="5"/>
  <c r="V19" i="5"/>
  <c r="U19" i="5"/>
  <c r="T19" i="5"/>
  <c r="S19" i="5"/>
  <c r="R19" i="5"/>
  <c r="Q19" i="5"/>
  <c r="P19" i="5"/>
  <c r="O19" i="5"/>
  <c r="N19" i="5"/>
  <c r="M19" i="5"/>
  <c r="Y18" i="5"/>
  <c r="X18" i="5"/>
  <c r="W18" i="5"/>
  <c r="V18" i="5"/>
  <c r="U18" i="5"/>
  <c r="T18" i="5"/>
  <c r="AH18" i="5" s="1"/>
  <c r="S18" i="5"/>
  <c r="R18" i="5"/>
  <c r="Q18" i="5"/>
  <c r="P18" i="5"/>
  <c r="O18" i="5"/>
  <c r="N18" i="5"/>
  <c r="M18" i="5"/>
  <c r="Y16" i="5"/>
  <c r="X16" i="5"/>
  <c r="W16" i="5"/>
  <c r="V16" i="5"/>
  <c r="U16" i="5"/>
  <c r="T16" i="5"/>
  <c r="S16" i="5"/>
  <c r="R16" i="5"/>
  <c r="Q16" i="5"/>
  <c r="AH16" i="5" s="1"/>
  <c r="P16" i="5"/>
  <c r="O16" i="5"/>
  <c r="N16" i="5"/>
  <c r="M16" i="5"/>
  <c r="Y15" i="5"/>
  <c r="X15" i="5"/>
  <c r="W15" i="5"/>
  <c r="W14" i="5"/>
  <c r="X14" i="5"/>
  <c r="Y14" i="5"/>
  <c r="L78" i="5"/>
  <c r="L77" i="5"/>
  <c r="L76" i="5"/>
  <c r="L75" i="5"/>
  <c r="L74" i="5"/>
  <c r="L67" i="5"/>
  <c r="AH67" i="5" s="1"/>
  <c r="L65" i="5"/>
  <c r="L64" i="5"/>
  <c r="L61" i="5"/>
  <c r="L60" i="5"/>
  <c r="L56" i="5"/>
  <c r="L53" i="5"/>
  <c r="L52" i="5"/>
  <c r="L49" i="5"/>
  <c r="L88" i="5" s="1"/>
  <c r="L48" i="5"/>
  <c r="L45" i="5"/>
  <c r="L44" i="5"/>
  <c r="L41" i="5"/>
  <c r="L40" i="5"/>
  <c r="L36" i="5"/>
  <c r="L32" i="5"/>
  <c r="L25" i="5"/>
  <c r="L24" i="5"/>
  <c r="L20" i="5"/>
  <c r="L19" i="5"/>
  <c r="L18" i="5"/>
  <c r="L16" i="5"/>
  <c r="B71" i="13"/>
  <c r="C71" i="13"/>
  <c r="D71" i="13"/>
  <c r="U70" i="13"/>
  <c r="T70" i="13"/>
  <c r="S70" i="13"/>
  <c r="R70" i="13"/>
  <c r="Q70" i="13"/>
  <c r="P70" i="13"/>
  <c r="O70" i="13"/>
  <c r="N70" i="13"/>
  <c r="M70" i="13"/>
  <c r="L70" i="13"/>
  <c r="K70" i="13"/>
  <c r="U69" i="13"/>
  <c r="T69" i="13"/>
  <c r="S69" i="13"/>
  <c r="R69" i="13"/>
  <c r="Q69" i="13"/>
  <c r="P69" i="13"/>
  <c r="O69" i="13"/>
  <c r="N69" i="13"/>
  <c r="M69" i="13"/>
  <c r="L69" i="13"/>
  <c r="K69" i="13"/>
  <c r="U68" i="13"/>
  <c r="V37" i="5"/>
  <c r="T68" i="13"/>
  <c r="U37" i="5" s="1"/>
  <c r="S68" i="13"/>
  <c r="T37" i="5" s="1"/>
  <c r="R68" i="13"/>
  <c r="S37" i="5" s="1"/>
  <c r="Q68" i="13"/>
  <c r="R37" i="5" s="1"/>
  <c r="P68" i="13"/>
  <c r="Q37" i="5" s="1"/>
  <c r="O68" i="13"/>
  <c r="P37" i="5" s="1"/>
  <c r="N68" i="13"/>
  <c r="O37" i="5" s="1"/>
  <c r="M68" i="13"/>
  <c r="N37" i="5" s="1"/>
  <c r="L68" i="13"/>
  <c r="M37" i="5" s="1"/>
  <c r="K68" i="13"/>
  <c r="L37" i="5" s="1"/>
  <c r="U67" i="13"/>
  <c r="T67" i="13"/>
  <c r="S67" i="13"/>
  <c r="R67" i="13"/>
  <c r="Q67" i="13"/>
  <c r="P67" i="13"/>
  <c r="O67" i="13"/>
  <c r="N67" i="13"/>
  <c r="M67" i="13"/>
  <c r="L67" i="13"/>
  <c r="K67" i="13"/>
  <c r="U66" i="13"/>
  <c r="T66" i="13"/>
  <c r="S66" i="13"/>
  <c r="R66" i="13"/>
  <c r="Q66" i="13"/>
  <c r="P66" i="13"/>
  <c r="O66" i="13"/>
  <c r="N66" i="13"/>
  <c r="M66" i="13"/>
  <c r="L66" i="13"/>
  <c r="K66" i="13"/>
  <c r="U65" i="13"/>
  <c r="T65" i="13"/>
  <c r="S65" i="13"/>
  <c r="R65" i="13"/>
  <c r="Q65" i="13"/>
  <c r="P65" i="13"/>
  <c r="O65" i="13"/>
  <c r="N65" i="13"/>
  <c r="M65" i="13"/>
  <c r="L65" i="13"/>
  <c r="K65" i="13"/>
  <c r="U64" i="13"/>
  <c r="T64" i="13"/>
  <c r="S64" i="13"/>
  <c r="R64" i="13"/>
  <c r="Q64" i="13"/>
  <c r="P64" i="13"/>
  <c r="O64" i="13"/>
  <c r="N64" i="13"/>
  <c r="M64" i="13"/>
  <c r="L64" i="13"/>
  <c r="K64" i="13"/>
  <c r="U63" i="13"/>
  <c r="T63" i="13"/>
  <c r="S63" i="13"/>
  <c r="R63" i="13"/>
  <c r="Q63" i="13"/>
  <c r="P63" i="13"/>
  <c r="O63" i="13"/>
  <c r="N63" i="13"/>
  <c r="M63" i="13"/>
  <c r="L63" i="13"/>
  <c r="K63" i="13"/>
  <c r="U62" i="13"/>
  <c r="T62" i="13"/>
  <c r="S62" i="13"/>
  <c r="R62" i="13"/>
  <c r="Q62" i="13"/>
  <c r="P62" i="13"/>
  <c r="O62" i="13"/>
  <c r="N62" i="13"/>
  <c r="M62" i="13"/>
  <c r="L62" i="13"/>
  <c r="K62" i="13"/>
  <c r="S58" i="13"/>
  <c r="T58" i="13"/>
  <c r="U58" i="13"/>
  <c r="I134" i="13"/>
  <c r="V31" i="13"/>
  <c r="V32" i="13"/>
  <c r="V30" i="13"/>
  <c r="V15" i="13"/>
  <c r="V14" i="13"/>
  <c r="K51" i="13" s="1"/>
  <c r="L14" i="5" s="1"/>
  <c r="O68" i="5"/>
  <c r="N68" i="5" s="1"/>
  <c r="Q68" i="5"/>
  <c r="P68" i="5" s="1"/>
  <c r="S68" i="5"/>
  <c r="R68" i="5" s="1"/>
  <c r="U68" i="5"/>
  <c r="W68" i="5"/>
  <c r="Y68" i="5"/>
  <c r="X68" i="5" s="1"/>
  <c r="AI68" i="5"/>
  <c r="V17" i="13"/>
  <c r="C53" i="13"/>
  <c r="D53" i="13"/>
  <c r="C54" i="13"/>
  <c r="D54" i="13"/>
  <c r="C55" i="13"/>
  <c r="D55" i="13"/>
  <c r="C56" i="13"/>
  <c r="D56" i="13"/>
  <c r="B53" i="13"/>
  <c r="B54" i="13"/>
  <c r="B55" i="13"/>
  <c r="B56" i="13"/>
  <c r="B57" i="13"/>
  <c r="I39" i="13"/>
  <c r="I38" i="13"/>
  <c r="I37" i="13"/>
  <c r="I36" i="13"/>
  <c r="I35" i="13"/>
  <c r="I34" i="13"/>
  <c r="I33" i="13"/>
  <c r="I32" i="13"/>
  <c r="I31" i="13"/>
  <c r="I30" i="13"/>
  <c r="I29" i="13"/>
  <c r="I28" i="13"/>
  <c r="U27" i="13"/>
  <c r="T27" i="13"/>
  <c r="S27" i="13"/>
  <c r="R27" i="13"/>
  <c r="Q27" i="13"/>
  <c r="P27" i="13"/>
  <c r="O27" i="13"/>
  <c r="N27" i="13"/>
  <c r="M27" i="13"/>
  <c r="L27" i="13"/>
  <c r="K27" i="13"/>
  <c r="R26" i="13"/>
  <c r="R24" i="13" s="1"/>
  <c r="P26" i="13"/>
  <c r="M26" i="13"/>
  <c r="M24" i="13" s="1"/>
  <c r="Q24" i="13"/>
  <c r="O24" i="13"/>
  <c r="N24" i="13"/>
  <c r="L24" i="13"/>
  <c r="K24" i="13"/>
  <c r="R22" i="13"/>
  <c r="Q22" i="13"/>
  <c r="P22" i="13"/>
  <c r="O22" i="13"/>
  <c r="N22" i="13"/>
  <c r="M22" i="13"/>
  <c r="L22" i="13"/>
  <c r="K22" i="13"/>
  <c r="R20" i="13"/>
  <c r="Q20" i="13"/>
  <c r="P20" i="13"/>
  <c r="O20" i="13"/>
  <c r="N20" i="13"/>
  <c r="M20" i="13"/>
  <c r="L20" i="13"/>
  <c r="V20" i="13" s="1"/>
  <c r="K20" i="13"/>
  <c r="R18" i="13"/>
  <c r="R16" i="13" s="1"/>
  <c r="Q18" i="13"/>
  <c r="Q16" i="13" s="1"/>
  <c r="Q12" i="13" s="1"/>
  <c r="Q11" i="13" s="1"/>
  <c r="P18" i="13"/>
  <c r="O18" i="13"/>
  <c r="N18" i="13"/>
  <c r="N16" i="13" s="1"/>
  <c r="M18" i="13"/>
  <c r="M16" i="13" s="1"/>
  <c r="L18" i="13"/>
  <c r="L16" i="13" s="1"/>
  <c r="L12" i="13" s="1"/>
  <c r="L11" i="13" s="1"/>
  <c r="K18" i="13"/>
  <c r="K16" i="13" s="1"/>
  <c r="K12" i="13" s="1"/>
  <c r="K11" i="13" s="1"/>
  <c r="I15" i="13"/>
  <c r="I14" i="13"/>
  <c r="I13" i="13"/>
  <c r="U12" i="13"/>
  <c r="T12" i="13"/>
  <c r="T11" i="13" s="1"/>
  <c r="V68" i="5"/>
  <c r="T68" i="5"/>
  <c r="P16" i="13"/>
  <c r="G67" i="11"/>
  <c r="G67" i="10"/>
  <c r="G67" i="4"/>
  <c r="G67" i="8"/>
  <c r="G67" i="14"/>
  <c r="G67" i="5"/>
  <c r="G67" i="9"/>
  <c r="G67" i="6"/>
  <c r="G78" i="11"/>
  <c r="G77" i="11"/>
  <c r="G76" i="11"/>
  <c r="G75" i="11"/>
  <c r="G74" i="11"/>
  <c r="G78" i="10"/>
  <c r="G77" i="10"/>
  <c r="G76" i="10"/>
  <c r="G75" i="10"/>
  <c r="G74" i="10"/>
  <c r="G78" i="4"/>
  <c r="G77" i="4"/>
  <c r="G76" i="4"/>
  <c r="G75" i="4"/>
  <c r="G74" i="4"/>
  <c r="G78" i="8"/>
  <c r="G77" i="8"/>
  <c r="G76" i="8"/>
  <c r="G75" i="8"/>
  <c r="G74" i="8"/>
  <c r="G78" i="14"/>
  <c r="G77" i="14"/>
  <c r="G76" i="14"/>
  <c r="G75" i="14"/>
  <c r="G74" i="14"/>
  <c r="G78" i="5"/>
  <c r="G77" i="5"/>
  <c r="G76" i="5"/>
  <c r="G75" i="5"/>
  <c r="G74" i="5"/>
  <c r="G78" i="9"/>
  <c r="G77" i="9"/>
  <c r="G76" i="9"/>
  <c r="G75" i="9"/>
  <c r="G74" i="9"/>
  <c r="G78" i="6"/>
  <c r="G77" i="6"/>
  <c r="G76" i="6"/>
  <c r="G75" i="6"/>
  <c r="G74" i="6"/>
  <c r="P103" i="13"/>
  <c r="P102" i="13"/>
  <c r="P101" i="13"/>
  <c r="P100" i="13"/>
  <c r="P99" i="13"/>
  <c r="P98" i="13"/>
  <c r="P97" i="13"/>
  <c r="P96" i="13"/>
  <c r="P95" i="13"/>
  <c r="P94" i="13"/>
  <c r="P93" i="13"/>
  <c r="P92" i="13"/>
  <c r="O91" i="13"/>
  <c r="N91" i="13"/>
  <c r="M91" i="13"/>
  <c r="L91" i="13"/>
  <c r="K91" i="13"/>
  <c r="J91" i="13"/>
  <c r="I91" i="13"/>
  <c r="P90" i="13"/>
  <c r="P89" i="13"/>
  <c r="P88" i="13"/>
  <c r="P87" i="13"/>
  <c r="P86" i="13"/>
  <c r="P85" i="13"/>
  <c r="O84" i="13"/>
  <c r="N84" i="13"/>
  <c r="N83" i="13" s="1"/>
  <c r="M84" i="13"/>
  <c r="L84" i="13"/>
  <c r="K84" i="13"/>
  <c r="J84" i="13"/>
  <c r="J83" i="13" s="1"/>
  <c r="I84" i="13"/>
  <c r="AH92" i="5"/>
  <c r="O83" i="13"/>
  <c r="S13" i="17"/>
  <c r="S20" i="17" s="1"/>
  <c r="C77" i="19"/>
  <c r="B77" i="19"/>
  <c r="C76" i="19"/>
  <c r="B76" i="19"/>
  <c r="C75" i="19"/>
  <c r="B75" i="19"/>
  <c r="C74" i="19"/>
  <c r="B74" i="19"/>
  <c r="C73" i="19"/>
  <c r="B73" i="19"/>
  <c r="C72" i="19"/>
  <c r="B72" i="19"/>
  <c r="K69" i="19"/>
  <c r="J136" i="22"/>
  <c r="J137" i="22"/>
  <c r="J138" i="22"/>
  <c r="J139" i="22"/>
  <c r="J106" i="13"/>
  <c r="K114" i="13" s="1"/>
  <c r="M114" i="13"/>
  <c r="AG70" i="2"/>
  <c r="AF70" i="2"/>
  <c r="AB70" i="2"/>
  <c r="Z70" i="2"/>
  <c r="X70" i="2"/>
  <c r="W70" i="2"/>
  <c r="V70" i="2"/>
  <c r="U70" i="2"/>
  <c r="T70" i="2"/>
  <c r="S70" i="2"/>
  <c r="R70" i="2"/>
  <c r="Q70" i="2"/>
  <c r="P70" i="2"/>
  <c r="N70" i="2"/>
  <c r="M70" i="2"/>
  <c r="L70" i="2"/>
  <c r="K70" i="2"/>
  <c r="J70" i="2"/>
  <c r="G88" i="9"/>
  <c r="G87" i="9"/>
  <c r="G86" i="9"/>
  <c r="G85" i="9"/>
  <c r="G84" i="9"/>
  <c r="G88" i="8"/>
  <c r="G87" i="8"/>
  <c r="G86" i="8"/>
  <c r="G85" i="8"/>
  <c r="G84" i="8"/>
  <c r="G88" i="14"/>
  <c r="G87" i="14"/>
  <c r="G86" i="14"/>
  <c r="G85" i="14"/>
  <c r="G84" i="14"/>
  <c r="G88" i="11"/>
  <c r="G87" i="11"/>
  <c r="G86" i="11"/>
  <c r="G85" i="11"/>
  <c r="G84" i="11"/>
  <c r="G88" i="10"/>
  <c r="G87" i="10"/>
  <c r="G86" i="10"/>
  <c r="G85" i="10"/>
  <c r="G84" i="10"/>
  <c r="G88" i="5"/>
  <c r="G87" i="5"/>
  <c r="G86" i="5"/>
  <c r="G85" i="5"/>
  <c r="G84" i="5"/>
  <c r="G88" i="4"/>
  <c r="G87" i="4"/>
  <c r="G86" i="4"/>
  <c r="G85" i="4"/>
  <c r="G84" i="4"/>
  <c r="G88" i="6"/>
  <c r="G87" i="6"/>
  <c r="G86" i="6"/>
  <c r="G85" i="6"/>
  <c r="G84" i="6"/>
  <c r="G70" i="9"/>
  <c r="G65" i="9"/>
  <c r="G64" i="9"/>
  <c r="G61" i="9"/>
  <c r="G60" i="9"/>
  <c r="G56" i="9"/>
  <c r="G53" i="9"/>
  <c r="G52" i="9"/>
  <c r="G49" i="9"/>
  <c r="G48" i="9"/>
  <c r="G45" i="9"/>
  <c r="G44" i="9"/>
  <c r="G41" i="9"/>
  <c r="G40" i="9"/>
  <c r="G37" i="9"/>
  <c r="G36" i="9"/>
  <c r="G33" i="9"/>
  <c r="G32" i="9"/>
  <c r="G29" i="9"/>
  <c r="G28" i="9"/>
  <c r="G25" i="9"/>
  <c r="G24" i="9"/>
  <c r="G20" i="9"/>
  <c r="G19" i="9"/>
  <c r="G18" i="9"/>
  <c r="G16" i="9"/>
  <c r="G15" i="9"/>
  <c r="G14" i="9"/>
  <c r="G70" i="8"/>
  <c r="G65" i="8"/>
  <c r="G64" i="8"/>
  <c r="G61" i="8"/>
  <c r="G60" i="8"/>
  <c r="G56" i="8"/>
  <c r="G53" i="8"/>
  <c r="G52" i="8"/>
  <c r="G49" i="8"/>
  <c r="G48" i="8"/>
  <c r="G45" i="8"/>
  <c r="G44" i="8"/>
  <c r="G41" i="8"/>
  <c r="G40" i="8"/>
  <c r="G37" i="8"/>
  <c r="G36" i="8"/>
  <c r="G33" i="8"/>
  <c r="G32" i="8"/>
  <c r="G29" i="8"/>
  <c r="G28" i="8"/>
  <c r="G25" i="8"/>
  <c r="G24" i="8"/>
  <c r="G20" i="8"/>
  <c r="G19" i="8"/>
  <c r="G18" i="8"/>
  <c r="G16" i="8"/>
  <c r="G15" i="8"/>
  <c r="G14" i="8"/>
  <c r="G70" i="14"/>
  <c r="G65" i="14"/>
  <c r="G64" i="14"/>
  <c r="G61" i="14"/>
  <c r="G60" i="14"/>
  <c r="G56" i="14"/>
  <c r="G53" i="14"/>
  <c r="G52" i="14"/>
  <c r="G49" i="14"/>
  <c r="G48" i="14"/>
  <c r="G45" i="14"/>
  <c r="G44" i="14"/>
  <c r="G41" i="14"/>
  <c r="G40" i="14"/>
  <c r="G37" i="14"/>
  <c r="G36" i="14"/>
  <c r="G33" i="14"/>
  <c r="G32" i="14"/>
  <c r="G29" i="14"/>
  <c r="G28" i="14"/>
  <c r="G25" i="14"/>
  <c r="G24" i="14"/>
  <c r="G20" i="14"/>
  <c r="G19" i="14"/>
  <c r="G18" i="14"/>
  <c r="G16" i="14"/>
  <c r="G15" i="14"/>
  <c r="G14" i="14"/>
  <c r="G70" i="11"/>
  <c r="G65" i="11"/>
  <c r="G64" i="11"/>
  <c r="G61" i="11"/>
  <c r="G60" i="11"/>
  <c r="G56" i="11"/>
  <c r="G53" i="11"/>
  <c r="G52" i="11"/>
  <c r="G49" i="11"/>
  <c r="G48" i="11"/>
  <c r="G45" i="11"/>
  <c r="G44" i="11"/>
  <c r="G41" i="11"/>
  <c r="G40" i="11"/>
  <c r="G37" i="11"/>
  <c r="G36" i="11"/>
  <c r="G33" i="11"/>
  <c r="G32" i="11"/>
  <c r="G29" i="11"/>
  <c r="G28" i="11"/>
  <c r="G25" i="11"/>
  <c r="G24" i="11"/>
  <c r="G20" i="11"/>
  <c r="G19" i="11"/>
  <c r="G18" i="11"/>
  <c r="G16" i="11"/>
  <c r="G15" i="11"/>
  <c r="G14" i="11"/>
  <c r="G70" i="10"/>
  <c r="G65" i="10"/>
  <c r="G64" i="10"/>
  <c r="G61" i="10"/>
  <c r="G60" i="10"/>
  <c r="G56" i="10"/>
  <c r="G53" i="10"/>
  <c r="G52" i="10"/>
  <c r="G49" i="10"/>
  <c r="G48" i="10"/>
  <c r="G45" i="10"/>
  <c r="G44" i="10"/>
  <c r="G41" i="10"/>
  <c r="G40" i="10"/>
  <c r="G37" i="10"/>
  <c r="G36" i="10"/>
  <c r="G33" i="10"/>
  <c r="G32" i="10"/>
  <c r="G29" i="10"/>
  <c r="G28" i="10"/>
  <c r="G25" i="10"/>
  <c r="G24" i="10"/>
  <c r="G20" i="10"/>
  <c r="G19" i="10"/>
  <c r="G18" i="10"/>
  <c r="G16" i="10"/>
  <c r="G15" i="10"/>
  <c r="G14" i="10"/>
  <c r="G70" i="5"/>
  <c r="G65" i="5"/>
  <c r="G64" i="5"/>
  <c r="G61" i="5"/>
  <c r="G60" i="5"/>
  <c r="G56" i="5"/>
  <c r="G53" i="5"/>
  <c r="G52" i="5"/>
  <c r="G49" i="5"/>
  <c r="G48" i="5"/>
  <c r="G45" i="5"/>
  <c r="G44" i="5"/>
  <c r="G41" i="5"/>
  <c r="G40" i="5"/>
  <c r="G37" i="5"/>
  <c r="G36" i="5"/>
  <c r="G33" i="5"/>
  <c r="G32" i="5"/>
  <c r="G29" i="5"/>
  <c r="G28" i="5"/>
  <c r="G25" i="5"/>
  <c r="G24" i="5"/>
  <c r="G20" i="5"/>
  <c r="G19" i="5"/>
  <c r="G18" i="5"/>
  <c r="G16" i="5"/>
  <c r="G15" i="5"/>
  <c r="G14" i="5"/>
  <c r="G70" i="4"/>
  <c r="G65" i="4"/>
  <c r="G64" i="4"/>
  <c r="G61" i="4"/>
  <c r="G60" i="4"/>
  <c r="G56" i="4"/>
  <c r="G53" i="4"/>
  <c r="G52" i="4"/>
  <c r="G49" i="4"/>
  <c r="G48" i="4"/>
  <c r="G45" i="4"/>
  <c r="G44" i="4"/>
  <c r="G41" i="4"/>
  <c r="G40" i="4"/>
  <c r="G37" i="4"/>
  <c r="G36" i="4"/>
  <c r="G33" i="4"/>
  <c r="G32" i="4"/>
  <c r="G29" i="4"/>
  <c r="G28" i="4"/>
  <c r="G25" i="4"/>
  <c r="G24" i="4"/>
  <c r="G20" i="4"/>
  <c r="G19" i="4"/>
  <c r="G18" i="4"/>
  <c r="G16" i="4"/>
  <c r="G15" i="4"/>
  <c r="G14" i="4"/>
  <c r="G70" i="6"/>
  <c r="G65" i="6"/>
  <c r="G64" i="6"/>
  <c r="G61" i="6"/>
  <c r="G60" i="6"/>
  <c r="G56" i="6"/>
  <c r="G53" i="6"/>
  <c r="G52" i="6"/>
  <c r="G49" i="6"/>
  <c r="G48" i="6"/>
  <c r="G45" i="6"/>
  <c r="G44" i="6"/>
  <c r="G41" i="6"/>
  <c r="G40" i="6"/>
  <c r="G37" i="6"/>
  <c r="G36" i="6"/>
  <c r="G33" i="6"/>
  <c r="G32" i="6"/>
  <c r="G29" i="6"/>
  <c r="G28" i="6"/>
  <c r="G25" i="6"/>
  <c r="G24" i="6"/>
  <c r="G20" i="6"/>
  <c r="G19" i="6"/>
  <c r="G18" i="6"/>
  <c r="G16" i="6"/>
  <c r="G15" i="6"/>
  <c r="G14" i="6"/>
  <c r="AB13" i="19"/>
  <c r="AC13" i="19" s="1"/>
  <c r="AD13" i="19" s="1"/>
  <c r="AE13" i="19" s="1"/>
  <c r="AF13" i="19" s="1"/>
  <c r="AG13" i="19" s="1"/>
  <c r="X13" i="19"/>
  <c r="Y13" i="19" s="1"/>
  <c r="Z13" i="19" s="1"/>
  <c r="AA13" i="19" s="1"/>
  <c r="R13" i="19"/>
  <c r="S13" i="19" s="1"/>
  <c r="T13" i="19" s="1"/>
  <c r="U13" i="19" s="1"/>
  <c r="V13" i="19" s="1"/>
  <c r="W13" i="19" s="1"/>
  <c r="R14" i="19"/>
  <c r="O13" i="19"/>
  <c r="P13" i="19" s="1"/>
  <c r="O14" i="19"/>
  <c r="F32" i="20"/>
  <c r="G32" i="20"/>
  <c r="H32" i="20"/>
  <c r="I32" i="20"/>
  <c r="J32" i="20"/>
  <c r="E32" i="20"/>
  <c r="K11" i="20"/>
  <c r="B8" i="19"/>
  <c r="C8" i="19"/>
  <c r="B9" i="19"/>
  <c r="C9" i="19"/>
  <c r="B10" i="19"/>
  <c r="C10" i="19"/>
  <c r="B11" i="19"/>
  <c r="C11" i="19"/>
  <c r="B12" i="19"/>
  <c r="C12" i="19"/>
  <c r="B13" i="19"/>
  <c r="C13" i="19"/>
  <c r="B14" i="19"/>
  <c r="C14" i="19"/>
  <c r="B15" i="19"/>
  <c r="C15" i="19"/>
  <c r="B16" i="19"/>
  <c r="C16" i="19"/>
  <c r="B17" i="19"/>
  <c r="C17" i="19"/>
  <c r="B18" i="19"/>
  <c r="C18" i="19"/>
  <c r="B19" i="19"/>
  <c r="C19" i="19"/>
  <c r="B20" i="19"/>
  <c r="C20" i="19"/>
  <c r="C7" i="19"/>
  <c r="B7" i="19"/>
  <c r="G9" i="19"/>
  <c r="O9" i="19" s="1"/>
  <c r="H9" i="19"/>
  <c r="R9" i="19" s="1"/>
  <c r="I9" i="19"/>
  <c r="X9" i="19"/>
  <c r="J9" i="19"/>
  <c r="AB9" i="19"/>
  <c r="G10" i="19"/>
  <c r="O10" i="19" s="1"/>
  <c r="H10" i="19"/>
  <c r="R10" i="19" s="1"/>
  <c r="I10" i="19"/>
  <c r="X10" i="19" s="1"/>
  <c r="J10" i="19"/>
  <c r="AB10" i="19" s="1"/>
  <c r="AC10" i="19" s="1"/>
  <c r="AD10" i="19" s="1"/>
  <c r="G11" i="19"/>
  <c r="O11" i="19" s="1"/>
  <c r="H11" i="19"/>
  <c r="R11" i="19" s="1"/>
  <c r="I11" i="19"/>
  <c r="X11" i="19" s="1"/>
  <c r="J11" i="19"/>
  <c r="AB11" i="19" s="1"/>
  <c r="G12" i="19"/>
  <c r="O12" i="19" s="1"/>
  <c r="P12" i="19" s="1"/>
  <c r="Q12" i="19" s="1"/>
  <c r="H12" i="19"/>
  <c r="R12" i="19" s="1"/>
  <c r="S12" i="19" s="1"/>
  <c r="T12" i="19" s="1"/>
  <c r="U12" i="19" s="1"/>
  <c r="V12" i="19" s="1"/>
  <c r="W12" i="19" s="1"/>
  <c r="I12" i="19"/>
  <c r="X12" i="19" s="1"/>
  <c r="Y12" i="19" s="1"/>
  <c r="Z12" i="19" s="1"/>
  <c r="AA12" i="19" s="1"/>
  <c r="J12" i="19"/>
  <c r="AB12" i="19"/>
  <c r="AC12" i="19" s="1"/>
  <c r="AD12" i="19" s="1"/>
  <c r="AE12" i="19" s="1"/>
  <c r="AF12" i="19" s="1"/>
  <c r="AG12" i="19" s="1"/>
  <c r="H7" i="19"/>
  <c r="H72" i="19" s="1"/>
  <c r="I7" i="19"/>
  <c r="I72" i="19"/>
  <c r="K72" i="19" s="1"/>
  <c r="J7" i="19"/>
  <c r="J72" i="19" s="1"/>
  <c r="G7" i="19"/>
  <c r="G72" i="19" s="1"/>
  <c r="G42" i="19"/>
  <c r="H42" i="19"/>
  <c r="I42" i="19"/>
  <c r="J42" i="19"/>
  <c r="G43" i="19"/>
  <c r="H43" i="19"/>
  <c r="I43" i="19"/>
  <c r="J43" i="19"/>
  <c r="G44" i="19"/>
  <c r="H44" i="19"/>
  <c r="I44" i="19"/>
  <c r="J44" i="19"/>
  <c r="G45" i="19"/>
  <c r="H45" i="19"/>
  <c r="I45" i="19"/>
  <c r="J45" i="19"/>
  <c r="G46" i="19"/>
  <c r="H46" i="19"/>
  <c r="I46" i="19"/>
  <c r="J46" i="19"/>
  <c r="G47" i="19"/>
  <c r="H47" i="19"/>
  <c r="I47" i="19"/>
  <c r="J47" i="19"/>
  <c r="G48" i="19"/>
  <c r="H48" i="19"/>
  <c r="I48" i="19"/>
  <c r="J48" i="19"/>
  <c r="G49" i="19"/>
  <c r="H49" i="19"/>
  <c r="I49" i="19"/>
  <c r="J49" i="19"/>
  <c r="G50" i="19"/>
  <c r="H50" i="19"/>
  <c r="I50" i="19"/>
  <c r="J50" i="19"/>
  <c r="G51" i="19"/>
  <c r="H51" i="19"/>
  <c r="I51" i="19"/>
  <c r="J51" i="19"/>
  <c r="G52" i="19"/>
  <c r="H52" i="19"/>
  <c r="I52" i="19"/>
  <c r="J52" i="19"/>
  <c r="H41" i="19"/>
  <c r="I41" i="19"/>
  <c r="J41" i="19"/>
  <c r="G41" i="19"/>
  <c r="K7" i="14"/>
  <c r="L7" i="14" s="1"/>
  <c r="M7" i="14" s="1"/>
  <c r="N7" i="14" s="1"/>
  <c r="O7" i="14" s="1"/>
  <c r="P7" i="14" s="1"/>
  <c r="Q7" i="14" s="1"/>
  <c r="R7" i="14" s="1"/>
  <c r="S7" i="14" s="1"/>
  <c r="T7" i="14" s="1"/>
  <c r="U7" i="14" s="1"/>
  <c r="V7" i="14" s="1"/>
  <c r="W7" i="14" s="1"/>
  <c r="X7" i="14" s="1"/>
  <c r="Y7" i="14" s="1"/>
  <c r="Z7" i="14" s="1"/>
  <c r="AA7" i="14" s="1"/>
  <c r="AB7" i="14" s="1"/>
  <c r="AC7" i="14" s="1"/>
  <c r="AD7" i="14" s="1"/>
  <c r="AE7" i="14" s="1"/>
  <c r="AF7" i="14" s="1"/>
  <c r="AG7" i="14" s="1"/>
  <c r="K4" i="19"/>
  <c r="K8" i="19"/>
  <c r="G8" i="19" s="1"/>
  <c r="O8" i="19" s="1"/>
  <c r="P8" i="19" s="1"/>
  <c r="J29" i="20"/>
  <c r="J31" i="20" s="1"/>
  <c r="I29" i="20"/>
  <c r="I31" i="20" s="1"/>
  <c r="H29" i="20"/>
  <c r="H31" i="20" s="1"/>
  <c r="G29" i="20"/>
  <c r="G31" i="20" s="1"/>
  <c r="F29" i="20"/>
  <c r="F31" i="20" s="1"/>
  <c r="E29" i="20"/>
  <c r="E31" i="20" s="1"/>
  <c r="S26" i="20"/>
  <c r="E26" i="20"/>
  <c r="R25" i="20"/>
  <c r="Q25" i="20"/>
  <c r="P25" i="20"/>
  <c r="O25" i="20"/>
  <c r="N25" i="20"/>
  <c r="M25" i="20"/>
  <c r="S24" i="20"/>
  <c r="E24" i="20"/>
  <c r="F24" i="20" s="1"/>
  <c r="G24" i="20" s="1"/>
  <c r="H24" i="20" s="1"/>
  <c r="I24" i="20" s="1"/>
  <c r="J24" i="20" s="1"/>
  <c r="S22" i="20"/>
  <c r="S21" i="20"/>
  <c r="Y63" i="19"/>
  <c r="Z63" i="19" s="1"/>
  <c r="L63" i="19"/>
  <c r="J17" i="19" s="1"/>
  <c r="AB17" i="19" s="1"/>
  <c r="AC17" i="19" s="1"/>
  <c r="AD17" i="19" s="1"/>
  <c r="AE17" i="19" s="1"/>
  <c r="AF17" i="19" s="1"/>
  <c r="AG17" i="19" s="1"/>
  <c r="W61" i="19"/>
  <c r="W62" i="19" s="1"/>
  <c r="W64" i="19" s="1"/>
  <c r="V61" i="19"/>
  <c r="V62" i="19" s="1"/>
  <c r="V64" i="19" s="1"/>
  <c r="U61" i="19"/>
  <c r="U62" i="19"/>
  <c r="U64" i="19" s="1"/>
  <c r="T61" i="19"/>
  <c r="T62" i="19" s="1"/>
  <c r="T64" i="19" s="1"/>
  <c r="S61" i="19"/>
  <c r="S62" i="19" s="1"/>
  <c r="S64" i="19" s="1"/>
  <c r="R61" i="19"/>
  <c r="K13" i="19" s="1"/>
  <c r="J61" i="19"/>
  <c r="J14" i="19" s="1"/>
  <c r="AB14" i="19" s="1"/>
  <c r="I61" i="19"/>
  <c r="H61" i="19"/>
  <c r="H62" i="19" s="1"/>
  <c r="H64" i="19"/>
  <c r="H65" i="19" s="1"/>
  <c r="H66" i="19" s="1"/>
  <c r="G61" i="19"/>
  <c r="Y60" i="19"/>
  <c r="Z60" i="19" s="1"/>
  <c r="L60" i="19"/>
  <c r="M60" i="19" s="1"/>
  <c r="Y59" i="19"/>
  <c r="Z59" i="19" s="1"/>
  <c r="L59" i="19"/>
  <c r="M59" i="19"/>
  <c r="Y58" i="19"/>
  <c r="Z58" i="19" s="1"/>
  <c r="L58" i="19"/>
  <c r="M58" i="19" s="1"/>
  <c r="Y57" i="19"/>
  <c r="Z57" i="19" s="1"/>
  <c r="L57" i="19"/>
  <c r="M57" i="19" s="1"/>
  <c r="Y56" i="19"/>
  <c r="Z56" i="19" s="1"/>
  <c r="L56" i="19"/>
  <c r="M56" i="19"/>
  <c r="Z53" i="19"/>
  <c r="M53" i="19"/>
  <c r="W40" i="19"/>
  <c r="V40" i="19"/>
  <c r="U40" i="19"/>
  <c r="T40" i="19"/>
  <c r="S40" i="19"/>
  <c r="R40" i="19"/>
  <c r="I40" i="19"/>
  <c r="H40" i="19"/>
  <c r="H54" i="19" s="1"/>
  <c r="G40" i="19"/>
  <c r="G54" i="19"/>
  <c r="X39" i="19"/>
  <c r="K39" i="19"/>
  <c r="X38" i="19"/>
  <c r="K38" i="19"/>
  <c r="X37" i="19"/>
  <c r="K37" i="19"/>
  <c r="X36" i="19"/>
  <c r="K36" i="19"/>
  <c r="X35" i="19"/>
  <c r="K35" i="19"/>
  <c r="X34" i="19"/>
  <c r="K34" i="19"/>
  <c r="X33" i="19"/>
  <c r="K33" i="19"/>
  <c r="G77" i="19" s="1"/>
  <c r="X32" i="19"/>
  <c r="K32" i="19"/>
  <c r="G76" i="19" s="1"/>
  <c r="X31" i="19"/>
  <c r="K31" i="19"/>
  <c r="G75" i="19" s="1"/>
  <c r="X30" i="19"/>
  <c r="K30" i="19"/>
  <c r="G74" i="19" s="1"/>
  <c r="X29" i="19"/>
  <c r="K29" i="19"/>
  <c r="X28" i="19"/>
  <c r="K28" i="19"/>
  <c r="U65" i="10"/>
  <c r="T65" i="10"/>
  <c r="S65" i="10"/>
  <c r="R65" i="10"/>
  <c r="Q65" i="10"/>
  <c r="P65" i="10"/>
  <c r="O65" i="10"/>
  <c r="N65" i="10"/>
  <c r="M65" i="10"/>
  <c r="L65" i="10"/>
  <c r="K65" i="10"/>
  <c r="J65" i="10"/>
  <c r="U64" i="10"/>
  <c r="T64" i="10"/>
  <c r="S64" i="10"/>
  <c r="R64" i="10"/>
  <c r="Q64" i="10"/>
  <c r="P64" i="10"/>
  <c r="U18" i="10"/>
  <c r="T18" i="10"/>
  <c r="S18" i="10"/>
  <c r="R18" i="10"/>
  <c r="Q18" i="10"/>
  <c r="P18" i="10"/>
  <c r="O18" i="10"/>
  <c r="N18" i="10"/>
  <c r="M18" i="10"/>
  <c r="L18" i="10"/>
  <c r="U16" i="10"/>
  <c r="T16" i="10"/>
  <c r="K16" i="10"/>
  <c r="J16" i="10"/>
  <c r="U14" i="10"/>
  <c r="T14" i="10"/>
  <c r="B38" i="18"/>
  <c r="B37" i="18"/>
  <c r="B36" i="18"/>
  <c r="B35" i="18"/>
  <c r="B32" i="18"/>
  <c r="B31" i="18"/>
  <c r="B30" i="18"/>
  <c r="B29" i="18"/>
  <c r="B26" i="18"/>
  <c r="B25" i="18"/>
  <c r="B24" i="18"/>
  <c r="B23" i="18"/>
  <c r="B20" i="18"/>
  <c r="B19" i="18"/>
  <c r="B18" i="18"/>
  <c r="B17" i="18"/>
  <c r="B13" i="18"/>
  <c r="B14" i="18"/>
  <c r="B12" i="18"/>
  <c r="J41" i="18"/>
  <c r="I41" i="18"/>
  <c r="U38" i="18"/>
  <c r="AI38" i="18" s="1"/>
  <c r="T38" i="18"/>
  <c r="AH38" i="18" s="1"/>
  <c r="S38" i="18"/>
  <c r="AG38" i="18" s="1"/>
  <c r="R38" i="18"/>
  <c r="AF38" i="18"/>
  <c r="Q38" i="18"/>
  <c r="AE38" i="18" s="1"/>
  <c r="P38" i="18"/>
  <c r="AD38" i="18" s="1"/>
  <c r="O38" i="18"/>
  <c r="AC38" i="18" s="1"/>
  <c r="N38" i="18"/>
  <c r="AB38" i="18" s="1"/>
  <c r="U37" i="18"/>
  <c r="AI37" i="18" s="1"/>
  <c r="T37" i="18"/>
  <c r="AH37" i="18" s="1"/>
  <c r="S37" i="18"/>
  <c r="AG37" i="18" s="1"/>
  <c r="R37" i="18"/>
  <c r="AF37" i="18" s="1"/>
  <c r="Q37" i="18"/>
  <c r="AE37" i="18" s="1"/>
  <c r="P37" i="18"/>
  <c r="AD37" i="18" s="1"/>
  <c r="O37" i="18"/>
  <c r="AC37" i="18" s="1"/>
  <c r="N37" i="18"/>
  <c r="AB37" i="18" s="1"/>
  <c r="U36" i="18"/>
  <c r="AI36" i="18" s="1"/>
  <c r="T36" i="18"/>
  <c r="AH36" i="18" s="1"/>
  <c r="S36" i="18"/>
  <c r="AG36" i="18"/>
  <c r="R36" i="18"/>
  <c r="AF36" i="18" s="1"/>
  <c r="Q36" i="18"/>
  <c r="AE36" i="18" s="1"/>
  <c r="P36" i="18"/>
  <c r="AD36" i="18" s="1"/>
  <c r="O36" i="18"/>
  <c r="AC36" i="18" s="1"/>
  <c r="N36" i="18"/>
  <c r="U35" i="18"/>
  <c r="AI35" i="18" s="1"/>
  <c r="T35" i="18"/>
  <c r="AH35" i="18"/>
  <c r="S35" i="18"/>
  <c r="AG35" i="18" s="1"/>
  <c r="R35" i="18"/>
  <c r="AF35" i="18" s="1"/>
  <c r="Q35" i="18"/>
  <c r="AE35" i="18" s="1"/>
  <c r="P35" i="18"/>
  <c r="AD35" i="18" s="1"/>
  <c r="O35" i="18"/>
  <c r="AC35" i="18" s="1"/>
  <c r="N35" i="18"/>
  <c r="AL34" i="18"/>
  <c r="X34" i="18"/>
  <c r="AL33" i="18"/>
  <c r="X33" i="18"/>
  <c r="M32" i="18"/>
  <c r="L32" i="18"/>
  <c r="Z32" i="18" s="1"/>
  <c r="M31" i="18"/>
  <c r="AA31" i="18" s="1"/>
  <c r="L31" i="18"/>
  <c r="Z31" i="18" s="1"/>
  <c r="M30" i="18"/>
  <c r="AA30" i="18" s="1"/>
  <c r="L30" i="18"/>
  <c r="Z30" i="18" s="1"/>
  <c r="M29" i="18"/>
  <c r="AA29" i="18" s="1"/>
  <c r="L29" i="18"/>
  <c r="AL28" i="18"/>
  <c r="X28" i="18"/>
  <c r="AL27" i="18"/>
  <c r="X27" i="18"/>
  <c r="Q26" i="18"/>
  <c r="AE26" i="18"/>
  <c r="P26" i="18"/>
  <c r="AD26" i="18" s="1"/>
  <c r="O26" i="18"/>
  <c r="AC26" i="18" s="1"/>
  <c r="N26" i="18"/>
  <c r="Q25" i="18"/>
  <c r="AE25" i="18"/>
  <c r="P25" i="18"/>
  <c r="AD25" i="18" s="1"/>
  <c r="O25" i="18"/>
  <c r="AC25" i="18" s="1"/>
  <c r="N25" i="18"/>
  <c r="Q24" i="18"/>
  <c r="AE24" i="18" s="1"/>
  <c r="P24" i="18"/>
  <c r="AD24" i="18" s="1"/>
  <c r="O24" i="18"/>
  <c r="AC24" i="18" s="1"/>
  <c r="N24" i="18"/>
  <c r="AB24" i="18" s="1"/>
  <c r="Q23" i="18"/>
  <c r="AE23" i="18" s="1"/>
  <c r="P23" i="18"/>
  <c r="AD23" i="18" s="1"/>
  <c r="O23" i="18"/>
  <c r="AC23" i="18" s="1"/>
  <c r="N23" i="18"/>
  <c r="AL22" i="18"/>
  <c r="X22" i="18"/>
  <c r="AL21" i="18"/>
  <c r="X21" i="18"/>
  <c r="M20" i="18"/>
  <c r="L20" i="18"/>
  <c r="M19" i="18"/>
  <c r="X19" i="18" s="1"/>
  <c r="AA19" i="18"/>
  <c r="L19" i="18"/>
  <c r="Z19" i="18" s="1"/>
  <c r="M18" i="18"/>
  <c r="AA18" i="18" s="1"/>
  <c r="L18" i="18"/>
  <c r="M17" i="18"/>
  <c r="AA17" i="18" s="1"/>
  <c r="L17" i="18"/>
  <c r="Z17" i="18" s="1"/>
  <c r="AL16" i="18"/>
  <c r="X16" i="18"/>
  <c r="AL15" i="18"/>
  <c r="X15" i="18"/>
  <c r="U14" i="18"/>
  <c r="AI14" i="18" s="1"/>
  <c r="T14" i="18"/>
  <c r="AH14" i="18" s="1"/>
  <c r="S14" i="18"/>
  <c r="AG14" i="18" s="1"/>
  <c r="R14" i="18"/>
  <c r="AF14" i="18" s="1"/>
  <c r="Q14" i="18"/>
  <c r="AE14" i="18" s="1"/>
  <c r="P14" i="18"/>
  <c r="AD14" i="18" s="1"/>
  <c r="O14" i="18"/>
  <c r="AC14" i="18" s="1"/>
  <c r="N14" i="18"/>
  <c r="AB14" i="18" s="1"/>
  <c r="M14" i="18"/>
  <c r="AA14" i="18" s="1"/>
  <c r="L14" i="18"/>
  <c r="Z14" i="18" s="1"/>
  <c r="U13" i="18"/>
  <c r="AI13" i="18" s="1"/>
  <c r="T13" i="18"/>
  <c r="AH13" i="18" s="1"/>
  <c r="S13" i="18"/>
  <c r="AG13" i="18" s="1"/>
  <c r="R13" i="18"/>
  <c r="AF13" i="18" s="1"/>
  <c r="Q13" i="18"/>
  <c r="AE13" i="18" s="1"/>
  <c r="P13" i="18"/>
  <c r="AD13" i="18" s="1"/>
  <c r="O13" i="18"/>
  <c r="AC13" i="18" s="1"/>
  <c r="N13" i="18"/>
  <c r="AB13" i="18" s="1"/>
  <c r="M13" i="18"/>
  <c r="AA13" i="18" s="1"/>
  <c r="L13" i="18"/>
  <c r="Z13" i="18" s="1"/>
  <c r="U12" i="18"/>
  <c r="AI12" i="18" s="1"/>
  <c r="T12" i="18"/>
  <c r="AH12" i="18" s="1"/>
  <c r="S12" i="18"/>
  <c r="AG12" i="18" s="1"/>
  <c r="R12" i="18"/>
  <c r="AF12" i="18" s="1"/>
  <c r="Q12" i="18"/>
  <c r="AE12" i="18" s="1"/>
  <c r="P12" i="18"/>
  <c r="AD12" i="18"/>
  <c r="O12" i="18"/>
  <c r="AC12" i="18" s="1"/>
  <c r="M14" i="10" s="1"/>
  <c r="N12" i="18"/>
  <c r="AB12" i="18"/>
  <c r="M12" i="18"/>
  <c r="AA12" i="18" s="1"/>
  <c r="L12" i="18"/>
  <c r="Z12" i="18"/>
  <c r="K14" i="19"/>
  <c r="G70" i="2"/>
  <c r="G67" i="2"/>
  <c r="G89" i="2"/>
  <c r="G88" i="2"/>
  <c r="G87" i="2"/>
  <c r="G85" i="2"/>
  <c r="G86" i="2"/>
  <c r="G78" i="2"/>
  <c r="G77" i="2"/>
  <c r="G76" i="2"/>
  <c r="G75" i="2"/>
  <c r="G74" i="2"/>
  <c r="G65" i="2"/>
  <c r="G64" i="2"/>
  <c r="G61" i="2"/>
  <c r="G60" i="2"/>
  <c r="G56" i="2"/>
  <c r="G53" i="2"/>
  <c r="G52" i="2"/>
  <c r="G49" i="2"/>
  <c r="G48" i="2"/>
  <c r="G45" i="2"/>
  <c r="G44" i="2"/>
  <c r="G41" i="2"/>
  <c r="G40" i="2"/>
  <c r="G37" i="2"/>
  <c r="G36" i="2"/>
  <c r="G33" i="2"/>
  <c r="G32" i="2"/>
  <c r="G29" i="2"/>
  <c r="G28" i="2"/>
  <c r="G25" i="2"/>
  <c r="G24" i="2"/>
  <c r="G20" i="2"/>
  <c r="G19" i="2"/>
  <c r="G18" i="2"/>
  <c r="G16" i="2"/>
  <c r="G15" i="2"/>
  <c r="G14" i="2"/>
  <c r="B7" i="17"/>
  <c r="B10" i="17"/>
  <c r="B11" i="17"/>
  <c r="B13" i="17"/>
  <c r="B14" i="17"/>
  <c r="B16" i="17"/>
  <c r="B17" i="17"/>
  <c r="B4" i="17"/>
  <c r="F18" i="17"/>
  <c r="F17" i="17"/>
  <c r="F16" i="17"/>
  <c r="F15" i="17"/>
  <c r="F14" i="17"/>
  <c r="F13" i="17"/>
  <c r="F12" i="17"/>
  <c r="F11" i="17"/>
  <c r="F10" i="17"/>
  <c r="F9" i="17"/>
  <c r="F8" i="17"/>
  <c r="F7" i="17"/>
  <c r="K15" i="11" s="1"/>
  <c r="F6" i="17"/>
  <c r="F5" i="17"/>
  <c r="Q18" i="17"/>
  <c r="P18" i="17"/>
  <c r="O18" i="17"/>
  <c r="N18" i="17"/>
  <c r="M18" i="17"/>
  <c r="L18" i="17"/>
  <c r="K18" i="17"/>
  <c r="J18" i="17"/>
  <c r="I18" i="17"/>
  <c r="H18" i="17"/>
  <c r="G18" i="17"/>
  <c r="Q17" i="17"/>
  <c r="P17" i="17"/>
  <c r="O17" i="17"/>
  <c r="N17" i="17"/>
  <c r="M17" i="17"/>
  <c r="L17" i="17"/>
  <c r="K17" i="17"/>
  <c r="J17" i="17"/>
  <c r="I17" i="17"/>
  <c r="H17" i="17"/>
  <c r="G17" i="17"/>
  <c r="Q16" i="17"/>
  <c r="P16" i="17"/>
  <c r="O16" i="17"/>
  <c r="N16" i="17"/>
  <c r="M16" i="17"/>
  <c r="L16" i="17"/>
  <c r="K16" i="17"/>
  <c r="J16" i="17"/>
  <c r="I16" i="17"/>
  <c r="H16" i="17"/>
  <c r="G16" i="17"/>
  <c r="Q15" i="17"/>
  <c r="P15" i="17"/>
  <c r="O15" i="17"/>
  <c r="N15" i="17"/>
  <c r="M15" i="17"/>
  <c r="L15" i="17"/>
  <c r="K15" i="17"/>
  <c r="J15" i="17"/>
  <c r="I15" i="17"/>
  <c r="H15" i="17"/>
  <c r="G15" i="17"/>
  <c r="Q14" i="17"/>
  <c r="P14" i="17"/>
  <c r="O14" i="17"/>
  <c r="N14" i="17"/>
  <c r="M14" i="17"/>
  <c r="L14" i="17"/>
  <c r="K14" i="17"/>
  <c r="J14" i="17"/>
  <c r="I14" i="17"/>
  <c r="H14" i="17"/>
  <c r="G14" i="17"/>
  <c r="Q13" i="17"/>
  <c r="P13" i="17"/>
  <c r="O13" i="17"/>
  <c r="N13" i="17"/>
  <c r="M13" i="17"/>
  <c r="L13" i="17"/>
  <c r="K13" i="17"/>
  <c r="J13" i="17"/>
  <c r="I13" i="17"/>
  <c r="H13" i="17"/>
  <c r="G13" i="17"/>
  <c r="Q12" i="17"/>
  <c r="P12" i="17"/>
  <c r="O12" i="17"/>
  <c r="N12" i="17"/>
  <c r="M12" i="17"/>
  <c r="L12" i="17"/>
  <c r="K12" i="17"/>
  <c r="J12" i="17"/>
  <c r="I12" i="17"/>
  <c r="H12" i="17"/>
  <c r="G12" i="17"/>
  <c r="Q11" i="17"/>
  <c r="P11" i="17"/>
  <c r="O11" i="17"/>
  <c r="N11" i="17"/>
  <c r="M11" i="17"/>
  <c r="L11" i="17"/>
  <c r="K11" i="17"/>
  <c r="J11" i="17"/>
  <c r="I11" i="17"/>
  <c r="H11" i="17"/>
  <c r="G11" i="17"/>
  <c r="Q10" i="17"/>
  <c r="P10" i="17"/>
  <c r="O10" i="17"/>
  <c r="N10" i="17"/>
  <c r="M10" i="17"/>
  <c r="L10" i="17"/>
  <c r="K10" i="17"/>
  <c r="J10" i="17"/>
  <c r="I10" i="17"/>
  <c r="H10" i="17"/>
  <c r="G10" i="17"/>
  <c r="Q9" i="17"/>
  <c r="P9" i="17"/>
  <c r="O9" i="17"/>
  <c r="N9" i="17"/>
  <c r="M9" i="17"/>
  <c r="L9" i="17"/>
  <c r="K9" i="17"/>
  <c r="J9" i="17"/>
  <c r="I9" i="17"/>
  <c r="H9" i="17"/>
  <c r="G9" i="17"/>
  <c r="Q8" i="17"/>
  <c r="P8" i="17"/>
  <c r="O8" i="17"/>
  <c r="N8" i="17"/>
  <c r="M8" i="17"/>
  <c r="L8" i="17"/>
  <c r="K8" i="17"/>
  <c r="J8" i="17"/>
  <c r="I8" i="17"/>
  <c r="H8" i="17"/>
  <c r="G8" i="17"/>
  <c r="Q7" i="17"/>
  <c r="V15" i="11" s="1"/>
  <c r="P7" i="17"/>
  <c r="U15" i="11"/>
  <c r="O7" i="17"/>
  <c r="T15" i="11" s="1"/>
  <c r="N7" i="17"/>
  <c r="S15" i="11" s="1"/>
  <c r="M7" i="17"/>
  <c r="R15" i="11"/>
  <c r="L7" i="17"/>
  <c r="Q15" i="11" s="1"/>
  <c r="K7" i="17"/>
  <c r="P15" i="11" s="1"/>
  <c r="J7" i="17"/>
  <c r="O15" i="11" s="1"/>
  <c r="I7" i="17"/>
  <c r="N15" i="11" s="1"/>
  <c r="H7" i="17"/>
  <c r="M15" i="11"/>
  <c r="G7" i="17"/>
  <c r="L15" i="11" s="1"/>
  <c r="AH15" i="11" s="1"/>
  <c r="AH84" i="11" s="1"/>
  <c r="Q6" i="17"/>
  <c r="P6" i="17"/>
  <c r="O6" i="17"/>
  <c r="N6" i="17"/>
  <c r="M6" i="17"/>
  <c r="L6" i="17"/>
  <c r="K6" i="17"/>
  <c r="J6" i="17"/>
  <c r="I6" i="17"/>
  <c r="H6" i="17"/>
  <c r="G6" i="17"/>
  <c r="Q5" i="17"/>
  <c r="P5" i="17"/>
  <c r="O5" i="17"/>
  <c r="N5" i="17"/>
  <c r="M5" i="17"/>
  <c r="L5" i="17"/>
  <c r="K5" i="17"/>
  <c r="J5" i="17"/>
  <c r="I5" i="17"/>
  <c r="H5" i="17"/>
  <c r="G5" i="17"/>
  <c r="Q4" i="17"/>
  <c r="V14" i="11" s="1"/>
  <c r="P4" i="17"/>
  <c r="U14" i="11" s="1"/>
  <c r="O4" i="17"/>
  <c r="T14" i="11" s="1"/>
  <c r="N4" i="17"/>
  <c r="S14" i="11" s="1"/>
  <c r="M4" i="17"/>
  <c r="R14" i="11" s="1"/>
  <c r="L4" i="17"/>
  <c r="Q14" i="11"/>
  <c r="K4" i="17"/>
  <c r="P14" i="11" s="1"/>
  <c r="J4" i="17"/>
  <c r="O14" i="11" s="1"/>
  <c r="I4" i="17"/>
  <c r="N14" i="11" s="1"/>
  <c r="H4" i="17"/>
  <c r="M14" i="11"/>
  <c r="G4" i="17"/>
  <c r="L14" i="11"/>
  <c r="F4" i="17"/>
  <c r="K14" i="11" s="1"/>
  <c r="G42" i="17"/>
  <c r="H42" i="17"/>
  <c r="I42" i="17"/>
  <c r="J42" i="17"/>
  <c r="K42" i="17"/>
  <c r="L42" i="17"/>
  <c r="M42" i="17"/>
  <c r="N42" i="17"/>
  <c r="O42" i="17"/>
  <c r="P42" i="17"/>
  <c r="Q42" i="17"/>
  <c r="F42" i="17"/>
  <c r="AI32" i="5"/>
  <c r="D18" i="7"/>
  <c r="D19" i="7"/>
  <c r="D20" i="7"/>
  <c r="Q67" i="8"/>
  <c r="P67" i="8"/>
  <c r="O67" i="8"/>
  <c r="N67" i="8"/>
  <c r="M67" i="8"/>
  <c r="L67" i="8"/>
  <c r="K67" i="8"/>
  <c r="J67" i="8"/>
  <c r="Q65" i="8"/>
  <c r="P65" i="8"/>
  <c r="O65" i="8"/>
  <c r="N65" i="8"/>
  <c r="M65" i="8"/>
  <c r="L65" i="8"/>
  <c r="K65" i="8"/>
  <c r="J65" i="8"/>
  <c r="Q61" i="8"/>
  <c r="P61" i="8"/>
  <c r="O61" i="8"/>
  <c r="N61" i="8"/>
  <c r="M61" i="8"/>
  <c r="L61" i="8"/>
  <c r="K61" i="8"/>
  <c r="J61" i="8"/>
  <c r="Q56" i="8"/>
  <c r="P56" i="8"/>
  <c r="O56" i="8"/>
  <c r="N56" i="8"/>
  <c r="M56" i="8"/>
  <c r="L56" i="8"/>
  <c r="K56" i="8"/>
  <c r="J56" i="8"/>
  <c r="Q53" i="8"/>
  <c r="P53" i="8"/>
  <c r="O53" i="8"/>
  <c r="N53" i="8"/>
  <c r="M53" i="8"/>
  <c r="L53" i="8"/>
  <c r="K53" i="8"/>
  <c r="J53" i="8"/>
  <c r="Q52" i="8"/>
  <c r="P52" i="8"/>
  <c r="O52" i="8"/>
  <c r="N52" i="8"/>
  <c r="M52" i="8"/>
  <c r="L52" i="8"/>
  <c r="K52" i="8"/>
  <c r="J52" i="8"/>
  <c r="Q49" i="8"/>
  <c r="P49" i="8"/>
  <c r="O49" i="8"/>
  <c r="N49" i="8"/>
  <c r="M49" i="8"/>
  <c r="L49" i="8"/>
  <c r="K49" i="8"/>
  <c r="J49" i="8"/>
  <c r="Q48" i="8"/>
  <c r="P48" i="8"/>
  <c r="O48" i="8"/>
  <c r="N48" i="8"/>
  <c r="M48" i="8"/>
  <c r="L48" i="8"/>
  <c r="K48" i="8"/>
  <c r="J48" i="8"/>
  <c r="Q45" i="8"/>
  <c r="P45" i="8"/>
  <c r="O45" i="8"/>
  <c r="N45" i="8"/>
  <c r="M45" i="8"/>
  <c r="L45" i="8"/>
  <c r="K45" i="8"/>
  <c r="J45" i="8"/>
  <c r="Q44" i="8"/>
  <c r="P44" i="8"/>
  <c r="O44" i="8"/>
  <c r="N44" i="8"/>
  <c r="M44" i="8"/>
  <c r="L44" i="8"/>
  <c r="K44" i="8"/>
  <c r="J44" i="8"/>
  <c r="Q41" i="8"/>
  <c r="P41" i="8"/>
  <c r="O41" i="8"/>
  <c r="N41" i="8"/>
  <c r="M41" i="8"/>
  <c r="L41" i="8"/>
  <c r="K41" i="8"/>
  <c r="J41" i="8"/>
  <c r="Q40" i="8"/>
  <c r="P40" i="8"/>
  <c r="O40" i="8"/>
  <c r="N40" i="8"/>
  <c r="M40" i="8"/>
  <c r="L40" i="8"/>
  <c r="K40" i="8"/>
  <c r="J40" i="8"/>
  <c r="Q37" i="8"/>
  <c r="P37" i="8"/>
  <c r="O37" i="8"/>
  <c r="N37" i="8"/>
  <c r="M37" i="8"/>
  <c r="L37" i="8"/>
  <c r="K37" i="8"/>
  <c r="J37" i="8"/>
  <c r="Q36" i="8"/>
  <c r="P36" i="8"/>
  <c r="O36" i="8"/>
  <c r="N36" i="8"/>
  <c r="M36" i="8"/>
  <c r="L36" i="8"/>
  <c r="K36" i="8"/>
  <c r="J36" i="8"/>
  <c r="Q33" i="8"/>
  <c r="P33" i="8"/>
  <c r="O33" i="8"/>
  <c r="N33" i="8"/>
  <c r="M33" i="8"/>
  <c r="L33" i="8"/>
  <c r="K33" i="8"/>
  <c r="J33" i="8"/>
  <c r="Q32" i="8"/>
  <c r="P32" i="8"/>
  <c r="O32" i="8"/>
  <c r="N32" i="8"/>
  <c r="M32" i="8"/>
  <c r="L32" i="8"/>
  <c r="K32" i="8"/>
  <c r="J32" i="8"/>
  <c r="Q29" i="8"/>
  <c r="P29" i="8"/>
  <c r="O29" i="8"/>
  <c r="N29" i="8"/>
  <c r="M29" i="8"/>
  <c r="L29" i="8"/>
  <c r="K29" i="8"/>
  <c r="J29" i="8"/>
  <c r="Q28" i="8"/>
  <c r="P28" i="8"/>
  <c r="O28" i="8"/>
  <c r="N28" i="8"/>
  <c r="M28" i="8"/>
  <c r="L28" i="8"/>
  <c r="K28" i="8"/>
  <c r="J28" i="8"/>
  <c r="Q25" i="8"/>
  <c r="P25" i="8"/>
  <c r="O25" i="8"/>
  <c r="N25" i="8"/>
  <c r="M25" i="8"/>
  <c r="L25" i="8"/>
  <c r="K25" i="8"/>
  <c r="J25" i="8"/>
  <c r="Q24" i="8"/>
  <c r="P24" i="8"/>
  <c r="O24" i="8"/>
  <c r="N24" i="8"/>
  <c r="M24" i="8"/>
  <c r="L24" i="8"/>
  <c r="K24" i="8"/>
  <c r="J24" i="8"/>
  <c r="Q20" i="8"/>
  <c r="P20" i="8"/>
  <c r="O20" i="8"/>
  <c r="N20" i="8"/>
  <c r="M20" i="8"/>
  <c r="L20" i="8"/>
  <c r="K20" i="8"/>
  <c r="J20" i="8"/>
  <c r="Q19" i="8"/>
  <c r="P19" i="8"/>
  <c r="O19" i="8"/>
  <c r="N19" i="8"/>
  <c r="M19" i="8"/>
  <c r="L19" i="8"/>
  <c r="K19" i="8"/>
  <c r="J19" i="8"/>
  <c r="Q16" i="8"/>
  <c r="P16" i="8"/>
  <c r="O16" i="8"/>
  <c r="N16" i="8"/>
  <c r="M16" i="8"/>
  <c r="L16" i="8"/>
  <c r="K16" i="8"/>
  <c r="J16" i="8"/>
  <c r="Q15" i="8"/>
  <c r="P15" i="8"/>
  <c r="O15" i="8"/>
  <c r="N15" i="8"/>
  <c r="M15" i="8"/>
  <c r="L15" i="8"/>
  <c r="K15" i="8"/>
  <c r="J15" i="8"/>
  <c r="B15" i="15"/>
  <c r="B14" i="15"/>
  <c r="B13" i="15"/>
  <c r="B12" i="15"/>
  <c r="B11" i="15"/>
  <c r="B10" i="15"/>
  <c r="B9" i="15"/>
  <c r="B8" i="15"/>
  <c r="B5" i="15"/>
  <c r="K15" i="15"/>
  <c r="L15" i="15"/>
  <c r="M15" i="15"/>
  <c r="N15" i="15"/>
  <c r="O15" i="15"/>
  <c r="J15" i="15"/>
  <c r="Q14" i="15"/>
  <c r="Q64" i="8" s="1"/>
  <c r="P14" i="15"/>
  <c r="O14" i="15"/>
  <c r="N14" i="15"/>
  <c r="M14" i="15"/>
  <c r="L14" i="15"/>
  <c r="K14" i="15"/>
  <c r="J14" i="15"/>
  <c r="O13" i="15"/>
  <c r="N13" i="15"/>
  <c r="M13" i="15"/>
  <c r="L13" i="15"/>
  <c r="K13" i="15"/>
  <c r="J13" i="15"/>
  <c r="Q12" i="15"/>
  <c r="P12" i="15"/>
  <c r="P64" i="8" s="1"/>
  <c r="O12" i="15"/>
  <c r="N12" i="15"/>
  <c r="M12" i="15"/>
  <c r="L12" i="15"/>
  <c r="K12" i="15"/>
  <c r="J12" i="15"/>
  <c r="P11" i="15"/>
  <c r="P60" i="8" s="1"/>
  <c r="O11" i="15"/>
  <c r="N11" i="15"/>
  <c r="M11" i="15"/>
  <c r="Q60" i="8"/>
  <c r="O10" i="15"/>
  <c r="N10" i="15"/>
  <c r="N60" i="8" s="1"/>
  <c r="M10" i="15"/>
  <c r="Q8" i="15"/>
  <c r="Q18" i="8" s="1"/>
  <c r="P8" i="15"/>
  <c r="P18" i="8" s="1"/>
  <c r="O8" i="15"/>
  <c r="O18" i="8" s="1"/>
  <c r="N8" i="15"/>
  <c r="N18" i="8" s="1"/>
  <c r="M8" i="15"/>
  <c r="M18" i="8"/>
  <c r="L8" i="15"/>
  <c r="L18" i="8" s="1"/>
  <c r="K8" i="15"/>
  <c r="J8" i="15"/>
  <c r="Q5" i="15"/>
  <c r="Q14" i="8" s="1"/>
  <c r="P5" i="15"/>
  <c r="P14" i="8"/>
  <c r="O5" i="15"/>
  <c r="O14" i="8" s="1"/>
  <c r="N5" i="15"/>
  <c r="M5" i="15"/>
  <c r="M14" i="8"/>
  <c r="L5" i="15"/>
  <c r="K5" i="15"/>
  <c r="K14" i="8" s="1"/>
  <c r="J5" i="15"/>
  <c r="J14" i="8" s="1"/>
  <c r="J60" i="8"/>
  <c r="K60" i="8"/>
  <c r="L60" i="8"/>
  <c r="F9" i="15"/>
  <c r="AI81" i="14"/>
  <c r="AG81" i="14"/>
  <c r="AG79" i="14" s="1"/>
  <c r="AG82" i="14" s="1"/>
  <c r="AF81" i="14"/>
  <c r="AF79" i="14"/>
  <c r="AF82" i="14" s="1"/>
  <c r="AE81" i="14"/>
  <c r="AE79" i="14" s="1"/>
  <c r="AE82" i="14" s="1"/>
  <c r="AD81" i="14"/>
  <c r="AD79" i="14" s="1"/>
  <c r="AD82" i="14" s="1"/>
  <c r="AH78" i="14"/>
  <c r="AH77" i="14"/>
  <c r="AH76" i="14"/>
  <c r="AH75" i="14"/>
  <c r="AH74" i="14"/>
  <c r="AH68" i="14"/>
  <c r="AH67" i="14"/>
  <c r="AH65" i="14"/>
  <c r="AH64" i="14"/>
  <c r="AH61" i="14"/>
  <c r="AH60" i="14"/>
  <c r="AH56" i="14"/>
  <c r="AH53" i="14"/>
  <c r="AH52" i="14"/>
  <c r="AH45" i="14"/>
  <c r="AH44" i="14"/>
  <c r="AH41" i="14"/>
  <c r="AH87" i="14" s="1"/>
  <c r="AH40" i="14"/>
  <c r="AH37" i="14"/>
  <c r="AH36" i="14"/>
  <c r="AH33" i="14"/>
  <c r="AH32" i="14"/>
  <c r="AH29" i="14"/>
  <c r="AH28" i="14"/>
  <c r="AH25" i="14"/>
  <c r="AH24" i="14"/>
  <c r="AH20" i="14"/>
  <c r="AH18" i="14"/>
  <c r="AI18" i="5"/>
  <c r="AI24" i="5"/>
  <c r="AI25" i="5"/>
  <c r="AI36" i="5"/>
  <c r="AI40" i="5"/>
  <c r="AI41" i="5"/>
  <c r="AI44" i="5"/>
  <c r="AI45" i="5"/>
  <c r="AI48" i="5"/>
  <c r="AI49" i="5"/>
  <c r="AI52" i="5"/>
  <c r="AI53" i="5"/>
  <c r="AI56" i="5"/>
  <c r="AI60" i="5"/>
  <c r="AI61" i="5"/>
  <c r="AI64" i="5"/>
  <c r="AI65" i="5"/>
  <c r="AI67" i="5"/>
  <c r="AI74" i="5"/>
  <c r="AI75" i="5"/>
  <c r="AI76" i="5"/>
  <c r="AI77" i="5"/>
  <c r="AI78" i="5"/>
  <c r="AI79" i="5"/>
  <c r="AI37" i="5"/>
  <c r="AI20" i="5"/>
  <c r="AI19" i="5"/>
  <c r="AI28" i="5"/>
  <c r="AI16" i="5"/>
  <c r="AI81" i="5" s="1"/>
  <c r="AI15" i="5"/>
  <c r="AI14" i="5"/>
  <c r="D70" i="13"/>
  <c r="D69" i="13"/>
  <c r="D68" i="13"/>
  <c r="D67" i="13"/>
  <c r="D66" i="13"/>
  <c r="D65" i="13"/>
  <c r="D64" i="13"/>
  <c r="D63" i="13"/>
  <c r="D62" i="13"/>
  <c r="D58" i="13"/>
  <c r="D57" i="13"/>
  <c r="D52" i="13"/>
  <c r="D51" i="13"/>
  <c r="C70" i="13"/>
  <c r="B70" i="13"/>
  <c r="C69" i="13"/>
  <c r="B69" i="13"/>
  <c r="C68" i="13"/>
  <c r="B68" i="13"/>
  <c r="C67" i="13"/>
  <c r="B67" i="13"/>
  <c r="C66" i="13"/>
  <c r="B66" i="13"/>
  <c r="C65" i="13"/>
  <c r="B65" i="13"/>
  <c r="C64" i="13"/>
  <c r="B64" i="13"/>
  <c r="C63" i="13"/>
  <c r="B63" i="13"/>
  <c r="C62" i="13"/>
  <c r="B62" i="13"/>
  <c r="C58" i="13"/>
  <c r="B58" i="13"/>
  <c r="C57" i="13"/>
  <c r="C52" i="13"/>
  <c r="B52" i="13"/>
  <c r="C51" i="13"/>
  <c r="B51" i="13"/>
  <c r="D316" i="7"/>
  <c r="D315" i="7"/>
  <c r="D314" i="7"/>
  <c r="D322" i="7"/>
  <c r="D321" i="7"/>
  <c r="D320" i="7"/>
  <c r="D304" i="7"/>
  <c r="D303" i="7"/>
  <c r="D302" i="7"/>
  <c r="D298" i="7"/>
  <c r="D297" i="7"/>
  <c r="D296" i="7"/>
  <c r="D286" i="7"/>
  <c r="D285" i="7"/>
  <c r="D284" i="7"/>
  <c r="D292" i="7"/>
  <c r="D291" i="7"/>
  <c r="D290" i="7"/>
  <c r="D268" i="7"/>
  <c r="D267" i="7"/>
  <c r="D266" i="7"/>
  <c r="D274" i="7"/>
  <c r="D273" i="7"/>
  <c r="D272" i="7"/>
  <c r="D280" i="7"/>
  <c r="D279" i="7"/>
  <c r="D278" i="7"/>
  <c r="D256" i="7"/>
  <c r="D255" i="7"/>
  <c r="D254" i="7"/>
  <c r="D250" i="7"/>
  <c r="D249" i="7"/>
  <c r="D248" i="7"/>
  <c r="D244" i="7"/>
  <c r="D243" i="7"/>
  <c r="D242" i="7"/>
  <c r="D238" i="7"/>
  <c r="D237" i="7"/>
  <c r="D236" i="7"/>
  <c r="D232" i="7"/>
  <c r="D231" i="7"/>
  <c r="D230" i="7"/>
  <c r="D226" i="7"/>
  <c r="D225" i="7"/>
  <c r="D224" i="7"/>
  <c r="D213" i="7"/>
  <c r="D212" i="7"/>
  <c r="D211" i="7"/>
  <c r="D207" i="7"/>
  <c r="D206" i="7"/>
  <c r="D205" i="7"/>
  <c r="D195" i="7"/>
  <c r="D194" i="7"/>
  <c r="D193" i="7"/>
  <c r="D201" i="7"/>
  <c r="D200" i="7"/>
  <c r="D199" i="7"/>
  <c r="D183" i="7"/>
  <c r="D182" i="7"/>
  <c r="D181" i="7"/>
  <c r="D189" i="7"/>
  <c r="D188" i="7"/>
  <c r="D187" i="7"/>
  <c r="D177" i="7"/>
  <c r="D176" i="7"/>
  <c r="D175" i="7"/>
  <c r="D165" i="7"/>
  <c r="D164" i="7"/>
  <c r="D163" i="7"/>
  <c r="D171" i="7"/>
  <c r="D170" i="7"/>
  <c r="D169" i="7"/>
  <c r="D159" i="7"/>
  <c r="D158" i="7"/>
  <c r="D157" i="7"/>
  <c r="D153" i="7"/>
  <c r="D152" i="7"/>
  <c r="D151" i="7"/>
  <c r="D147" i="7"/>
  <c r="D146" i="7"/>
  <c r="D145" i="7"/>
  <c r="D141" i="7"/>
  <c r="D140" i="7"/>
  <c r="D139" i="7"/>
  <c r="D135" i="7"/>
  <c r="D134" i="7"/>
  <c r="D133" i="7"/>
  <c r="D123" i="7"/>
  <c r="D122" i="7"/>
  <c r="D121" i="7"/>
  <c r="D117" i="7"/>
  <c r="D116" i="7"/>
  <c r="D115" i="7"/>
  <c r="D111" i="7"/>
  <c r="D110" i="7"/>
  <c r="D109" i="7"/>
  <c r="D105" i="7"/>
  <c r="D104" i="7"/>
  <c r="D103" i="7"/>
  <c r="D99" i="7"/>
  <c r="D98" i="7"/>
  <c r="D97" i="7"/>
  <c r="D93" i="7"/>
  <c r="D92" i="7"/>
  <c r="D91" i="7"/>
  <c r="D87" i="7"/>
  <c r="D86" i="7"/>
  <c r="D85" i="7"/>
  <c r="D81" i="7"/>
  <c r="D80" i="7"/>
  <c r="D79" i="7"/>
  <c r="D75" i="7"/>
  <c r="D74" i="7"/>
  <c r="D73" i="7"/>
  <c r="D69" i="7"/>
  <c r="D68" i="7"/>
  <c r="D67" i="7"/>
  <c r="D63" i="7"/>
  <c r="D62" i="7"/>
  <c r="D61" i="7"/>
  <c r="D57" i="7"/>
  <c r="D56" i="7"/>
  <c r="D55" i="7"/>
  <c r="D51" i="7"/>
  <c r="D50" i="7"/>
  <c r="D49" i="7"/>
  <c r="D45" i="7"/>
  <c r="D44" i="7"/>
  <c r="D43" i="7"/>
  <c r="D33" i="7"/>
  <c r="D32" i="7"/>
  <c r="D31" i="7"/>
  <c r="D27" i="7"/>
  <c r="D26" i="7"/>
  <c r="D25" i="7"/>
  <c r="Q132" i="13"/>
  <c r="P132" i="13"/>
  <c r="O132" i="13"/>
  <c r="N132" i="13"/>
  <c r="M132" i="13"/>
  <c r="L132" i="13"/>
  <c r="K132" i="13"/>
  <c r="J132" i="13"/>
  <c r="AI81" i="9"/>
  <c r="AI81" i="8"/>
  <c r="AG81" i="8"/>
  <c r="AG79" i="8" s="1"/>
  <c r="AG82" i="8" s="1"/>
  <c r="AF81" i="8"/>
  <c r="AF79" i="8" s="1"/>
  <c r="AF82" i="8" s="1"/>
  <c r="AE81" i="8"/>
  <c r="AE79" i="8"/>
  <c r="AE82" i="8" s="1"/>
  <c r="AD81" i="8"/>
  <c r="AD79" i="8"/>
  <c r="AD82" i="8" s="1"/>
  <c r="AC81" i="8"/>
  <c r="AC79" i="8" s="1"/>
  <c r="AC82" i="8" s="1"/>
  <c r="AB81" i="8"/>
  <c r="AB79" i="8" s="1"/>
  <c r="AB82" i="8" s="1"/>
  <c r="AA81" i="8"/>
  <c r="AA79" i="8" s="1"/>
  <c r="AA82" i="8" s="1"/>
  <c r="Z81" i="8"/>
  <c r="Z79" i="8" s="1"/>
  <c r="Z82" i="8" s="1"/>
  <c r="Y81" i="8"/>
  <c r="Y79" i="8" s="1"/>
  <c r="Y82" i="8" s="1"/>
  <c r="X81" i="8"/>
  <c r="X79" i="8" s="1"/>
  <c r="X82" i="8" s="1"/>
  <c r="W81" i="8"/>
  <c r="W79" i="8" s="1"/>
  <c r="W82" i="8" s="1"/>
  <c r="V81" i="8"/>
  <c r="V79" i="8" s="1"/>
  <c r="V82" i="8" s="1"/>
  <c r="U81" i="8"/>
  <c r="U79" i="8" s="1"/>
  <c r="U82" i="8" s="1"/>
  <c r="T81" i="8"/>
  <c r="T79" i="8" s="1"/>
  <c r="T82" i="8" s="1"/>
  <c r="S81" i="8"/>
  <c r="S79" i="8"/>
  <c r="S82" i="8" s="1"/>
  <c r="R81" i="8"/>
  <c r="R79" i="8" s="1"/>
  <c r="R82" i="8" s="1"/>
  <c r="AI81" i="11"/>
  <c r="AG81" i="11"/>
  <c r="AG79" i="11" s="1"/>
  <c r="AG82" i="11" s="1"/>
  <c r="AF81" i="11"/>
  <c r="AF79" i="11" s="1"/>
  <c r="AF82" i="11" s="1"/>
  <c r="AE81" i="11"/>
  <c r="AE79" i="11"/>
  <c r="AE82" i="11" s="1"/>
  <c r="AD81" i="11"/>
  <c r="AD79" i="11"/>
  <c r="AD82" i="11" s="1"/>
  <c r="AC81" i="11"/>
  <c r="AC79" i="11" s="1"/>
  <c r="AC82" i="11" s="1"/>
  <c r="AB81" i="11"/>
  <c r="AB79" i="11"/>
  <c r="AB82" i="11" s="1"/>
  <c r="AA81" i="11"/>
  <c r="AA79" i="11"/>
  <c r="AA82" i="11" s="1"/>
  <c r="Z81" i="11"/>
  <c r="Z79" i="11" s="1"/>
  <c r="Z82" i="11" s="1"/>
  <c r="Y81" i="11"/>
  <c r="Y79" i="11" s="1"/>
  <c r="Y82" i="11" s="1"/>
  <c r="X81" i="11"/>
  <c r="X79" i="11"/>
  <c r="X82" i="11" s="1"/>
  <c r="W81" i="11"/>
  <c r="W79" i="11" s="1"/>
  <c r="W82" i="11" s="1"/>
  <c r="J81" i="11"/>
  <c r="J79" i="11" s="1"/>
  <c r="J82" i="11" s="1"/>
  <c r="AI81" i="10"/>
  <c r="AG81" i="10"/>
  <c r="AG82" i="10" s="1"/>
  <c r="AF81" i="10"/>
  <c r="AF82" i="10" s="1"/>
  <c r="AE81" i="10"/>
  <c r="AE82" i="10" s="1"/>
  <c r="AD81" i="10"/>
  <c r="AC81" i="10"/>
  <c r="AC82" i="10" s="1"/>
  <c r="AB81" i="10"/>
  <c r="AB82" i="10" s="1"/>
  <c r="AA81" i="10"/>
  <c r="AA82" i="10" s="1"/>
  <c r="Z81" i="10"/>
  <c r="Y81" i="10"/>
  <c r="Y82" i="10" s="1"/>
  <c r="X81" i="10"/>
  <c r="X82" i="10" s="1"/>
  <c r="W81" i="10"/>
  <c r="V81" i="10"/>
  <c r="U81" i="10"/>
  <c r="U79" i="10" s="1"/>
  <c r="U82" i="10" s="1"/>
  <c r="AI20" i="6"/>
  <c r="AI25" i="6"/>
  <c r="AI28" i="6"/>
  <c r="AI29" i="6"/>
  <c r="AI32" i="6"/>
  <c r="AI40" i="6"/>
  <c r="AI41" i="6"/>
  <c r="AI44" i="6"/>
  <c r="AI45" i="6"/>
  <c r="AI46" i="6"/>
  <c r="AI47" i="6"/>
  <c r="AI48" i="6"/>
  <c r="AI49" i="6"/>
  <c r="AI50" i="6"/>
  <c r="AI51" i="6"/>
  <c r="AI52" i="6"/>
  <c r="AI53" i="6"/>
  <c r="AI69" i="6"/>
  <c r="AI71" i="6"/>
  <c r="AI72" i="6"/>
  <c r="AI73" i="6"/>
  <c r="AI76" i="6"/>
  <c r="AG78" i="6"/>
  <c r="AG78" i="2"/>
  <c r="AF78" i="6"/>
  <c r="AF78" i="2" s="1"/>
  <c r="AD78" i="6"/>
  <c r="AC78" i="6"/>
  <c r="AC78" i="2" s="1"/>
  <c r="AB78" i="6"/>
  <c r="AB78" i="2" s="1"/>
  <c r="AA78" i="6"/>
  <c r="AA78" i="2" s="1"/>
  <c r="Z78" i="6"/>
  <c r="Z78" i="2" s="1"/>
  <c r="Y78" i="6"/>
  <c r="X78" i="6"/>
  <c r="V78" i="6"/>
  <c r="U78" i="6"/>
  <c r="T78" i="6"/>
  <c r="R78" i="6"/>
  <c r="Q78" i="6"/>
  <c r="P78" i="6"/>
  <c r="O78" i="6"/>
  <c r="N78" i="6"/>
  <c r="L78" i="6"/>
  <c r="L78" i="2" s="1"/>
  <c r="K78" i="6"/>
  <c r="K78" i="2" s="1"/>
  <c r="AG77" i="6"/>
  <c r="AG77" i="2" s="1"/>
  <c r="AF77" i="6"/>
  <c r="AF77" i="2" s="1"/>
  <c r="AC77" i="6"/>
  <c r="AC77" i="2"/>
  <c r="AB77" i="6"/>
  <c r="AB77" i="2" s="1"/>
  <c r="AA77" i="6"/>
  <c r="AA77" i="2" s="1"/>
  <c r="Z77" i="6"/>
  <c r="Z77" i="2" s="1"/>
  <c r="Y77" i="6"/>
  <c r="Y77" i="2" s="1"/>
  <c r="X77" i="6"/>
  <c r="U77" i="6"/>
  <c r="T77" i="6"/>
  <c r="Q77" i="6"/>
  <c r="P77" i="6"/>
  <c r="O77" i="6"/>
  <c r="N77" i="6"/>
  <c r="N77" i="2" s="1"/>
  <c r="K77" i="6"/>
  <c r="K77" i="2" s="1"/>
  <c r="AG76" i="6"/>
  <c r="AF76" i="6"/>
  <c r="AE76" i="6"/>
  <c r="AD76" i="6"/>
  <c r="AC76" i="6"/>
  <c r="AB76" i="6"/>
  <c r="AA76" i="6"/>
  <c r="Z76" i="6"/>
  <c r="Y76" i="6"/>
  <c r="X76" i="6"/>
  <c r="W76" i="6"/>
  <c r="V76" i="6"/>
  <c r="U76" i="6"/>
  <c r="T76" i="6"/>
  <c r="S76" i="6"/>
  <c r="R76" i="6"/>
  <c r="Q76" i="6"/>
  <c r="P76" i="6"/>
  <c r="O76" i="6"/>
  <c r="N76" i="6"/>
  <c r="M76" i="6"/>
  <c r="L76" i="6"/>
  <c r="K76" i="6"/>
  <c r="J76" i="6"/>
  <c r="AG75" i="6"/>
  <c r="AF75" i="6"/>
  <c r="AC75" i="6"/>
  <c r="AB75" i="6"/>
  <c r="AA75" i="6"/>
  <c r="Z75" i="6"/>
  <c r="Y75" i="6"/>
  <c r="X75" i="6"/>
  <c r="U75" i="6"/>
  <c r="T75" i="6"/>
  <c r="Q75" i="6"/>
  <c r="P75" i="6"/>
  <c r="O75" i="6"/>
  <c r="N75" i="6"/>
  <c r="K75" i="6"/>
  <c r="AG74" i="6"/>
  <c r="AF74" i="6"/>
  <c r="AF74" i="2" s="1"/>
  <c r="AC74" i="6"/>
  <c r="AB74" i="6"/>
  <c r="AA74" i="6"/>
  <c r="Z74" i="6"/>
  <c r="Y74" i="6"/>
  <c r="X74" i="6"/>
  <c r="U74" i="6"/>
  <c r="T74" i="6"/>
  <c r="Q74" i="6"/>
  <c r="P74" i="6"/>
  <c r="O74" i="6"/>
  <c r="N74" i="6"/>
  <c r="K74" i="6"/>
  <c r="AG73" i="6"/>
  <c r="AF73" i="6"/>
  <c r="AE73" i="6"/>
  <c r="AD73" i="6"/>
  <c r="AC73" i="6"/>
  <c r="AB73" i="6"/>
  <c r="AA73" i="6"/>
  <c r="Z73" i="6"/>
  <c r="Y73" i="6"/>
  <c r="X73" i="6"/>
  <c r="W73" i="6"/>
  <c r="V73" i="6"/>
  <c r="U73" i="6"/>
  <c r="T73" i="6"/>
  <c r="S73" i="6"/>
  <c r="R73" i="6"/>
  <c r="Q73" i="6"/>
  <c r="P73" i="6"/>
  <c r="O73" i="6"/>
  <c r="N73" i="6"/>
  <c r="M73" i="6"/>
  <c r="L73" i="6"/>
  <c r="K73" i="6"/>
  <c r="J73" i="6"/>
  <c r="AG72" i="6"/>
  <c r="AF72" i="6"/>
  <c r="AE72" i="6"/>
  <c r="AD72" i="6"/>
  <c r="AC72" i="6"/>
  <c r="AB72" i="6"/>
  <c r="AA72" i="6"/>
  <c r="Z72" i="6"/>
  <c r="Y72" i="6"/>
  <c r="X72" i="6"/>
  <c r="W72" i="6"/>
  <c r="V72" i="6"/>
  <c r="U72" i="6"/>
  <c r="T72" i="6"/>
  <c r="S72" i="6"/>
  <c r="R72" i="6"/>
  <c r="Q72" i="6"/>
  <c r="P72" i="6"/>
  <c r="O72" i="6"/>
  <c r="N72" i="6"/>
  <c r="M72" i="6"/>
  <c r="L72" i="6"/>
  <c r="K72" i="6"/>
  <c r="J72" i="6"/>
  <c r="AH72" i="6" s="1"/>
  <c r="AG68" i="2"/>
  <c r="AF68" i="2"/>
  <c r="AE68" i="2"/>
  <c r="AD68" i="2"/>
  <c r="AC68" i="2"/>
  <c r="AB68" i="2"/>
  <c r="AA68" i="2"/>
  <c r="Z68" i="2"/>
  <c r="U68" i="2"/>
  <c r="M68" i="2"/>
  <c r="L68" i="2"/>
  <c r="J68" i="2"/>
  <c r="AG67" i="6"/>
  <c r="AG67" i="2" s="1"/>
  <c r="AF67" i="6"/>
  <c r="AF67" i="2" s="1"/>
  <c r="AD67" i="6"/>
  <c r="AD67" i="2" s="1"/>
  <c r="AC67" i="6"/>
  <c r="AC67" i="2" s="1"/>
  <c r="AB67" i="6"/>
  <c r="AB67" i="2" s="1"/>
  <c r="AA67" i="6"/>
  <c r="AA67" i="2" s="1"/>
  <c r="Z67" i="6"/>
  <c r="Z67" i="2" s="1"/>
  <c r="Y67" i="6"/>
  <c r="Y67" i="2" s="1"/>
  <c r="X67" i="6"/>
  <c r="V67" i="6"/>
  <c r="U67" i="6"/>
  <c r="T67" i="6"/>
  <c r="R67" i="6"/>
  <c r="R67" i="2" s="1"/>
  <c r="Q67" i="6"/>
  <c r="P67" i="6"/>
  <c r="O67" i="6"/>
  <c r="N67" i="6"/>
  <c r="L67" i="6"/>
  <c r="K67" i="6"/>
  <c r="K67" i="2" s="1"/>
  <c r="AG65" i="6"/>
  <c r="AG65" i="2" s="1"/>
  <c r="AF65" i="6"/>
  <c r="AF65" i="2" s="1"/>
  <c r="AD65" i="6"/>
  <c r="AD65" i="2" s="1"/>
  <c r="AC65" i="6"/>
  <c r="AC65" i="2" s="1"/>
  <c r="AB65" i="6"/>
  <c r="AB65" i="2" s="1"/>
  <c r="AA65" i="6"/>
  <c r="AA65" i="2" s="1"/>
  <c r="Z65" i="6"/>
  <c r="Z65" i="2" s="1"/>
  <c r="Y65" i="6"/>
  <c r="X65" i="6"/>
  <c r="V65" i="6"/>
  <c r="V65" i="2" s="1"/>
  <c r="U65" i="6"/>
  <c r="U65" i="2" s="1"/>
  <c r="T65" i="6"/>
  <c r="R65" i="6"/>
  <c r="R65" i="2" s="1"/>
  <c r="Q65" i="6"/>
  <c r="P65" i="6"/>
  <c r="O65" i="6"/>
  <c r="N65" i="6"/>
  <c r="L65" i="6"/>
  <c r="K65" i="6"/>
  <c r="AG64" i="6"/>
  <c r="AG64" i="2"/>
  <c r="AF64" i="6"/>
  <c r="AF64" i="2" s="1"/>
  <c r="AE64" i="6"/>
  <c r="AE64" i="2" s="1"/>
  <c r="AC64" i="6"/>
  <c r="AC64" i="2" s="1"/>
  <c r="AB64" i="6"/>
  <c r="AB64" i="2" s="1"/>
  <c r="AA64" i="6"/>
  <c r="AA64" i="2" s="1"/>
  <c r="Z64" i="6"/>
  <c r="Z64" i="2" s="1"/>
  <c r="Y64" i="6"/>
  <c r="X64" i="6"/>
  <c r="X64" i="2" s="1"/>
  <c r="U64" i="6"/>
  <c r="T64" i="6"/>
  <c r="R64" i="6"/>
  <c r="Q64" i="6"/>
  <c r="P64" i="6"/>
  <c r="O64" i="6"/>
  <c r="N64" i="6"/>
  <c r="K64" i="6"/>
  <c r="AG61" i="6"/>
  <c r="AG61" i="2" s="1"/>
  <c r="AF61" i="6"/>
  <c r="AF61" i="2" s="1"/>
  <c r="AD61" i="6"/>
  <c r="AD61" i="2" s="1"/>
  <c r="AC61" i="6"/>
  <c r="AC61" i="2" s="1"/>
  <c r="AB61" i="6"/>
  <c r="AB61" i="2" s="1"/>
  <c r="AA61" i="6"/>
  <c r="AA61" i="2" s="1"/>
  <c r="Z61" i="6"/>
  <c r="Z61" i="2" s="1"/>
  <c r="Y61" i="6"/>
  <c r="X61" i="6"/>
  <c r="V61" i="6"/>
  <c r="U61" i="6"/>
  <c r="T61" i="6"/>
  <c r="R61" i="6"/>
  <c r="Q61" i="6"/>
  <c r="P61" i="6"/>
  <c r="O61" i="6"/>
  <c r="N61" i="6"/>
  <c r="M61" i="6"/>
  <c r="L61" i="6"/>
  <c r="K61" i="6"/>
  <c r="J61" i="6"/>
  <c r="AH61" i="6" s="1"/>
  <c r="AG56" i="6"/>
  <c r="AG56" i="2" s="1"/>
  <c r="AF56" i="6"/>
  <c r="AF56" i="2" s="1"/>
  <c r="AD56" i="6"/>
  <c r="AD56" i="2" s="1"/>
  <c r="AC56" i="6"/>
  <c r="AC56" i="2" s="1"/>
  <c r="AB56" i="6"/>
  <c r="AB56" i="2" s="1"/>
  <c r="AA56" i="6"/>
  <c r="AA56" i="2" s="1"/>
  <c r="Z56" i="6"/>
  <c r="Z56" i="2" s="1"/>
  <c r="Y56" i="6"/>
  <c r="X56" i="6"/>
  <c r="V56" i="6"/>
  <c r="U56" i="6"/>
  <c r="T56" i="6"/>
  <c r="R56" i="6"/>
  <c r="R56" i="2" s="1"/>
  <c r="Q56" i="6"/>
  <c r="Q56" i="2" s="1"/>
  <c r="P56" i="6"/>
  <c r="O56" i="6"/>
  <c r="N56" i="6"/>
  <c r="L56" i="6"/>
  <c r="K56" i="6"/>
  <c r="AG53" i="6"/>
  <c r="AG53" i="2" s="1"/>
  <c r="AF53" i="6"/>
  <c r="AF53" i="2" s="1"/>
  <c r="AE53" i="6"/>
  <c r="AE53" i="2" s="1"/>
  <c r="AD53" i="6"/>
  <c r="AD53" i="2" s="1"/>
  <c r="AC53" i="6"/>
  <c r="AC53" i="2" s="1"/>
  <c r="AB53" i="6"/>
  <c r="AB53" i="2" s="1"/>
  <c r="AA53" i="6"/>
  <c r="AA53" i="2"/>
  <c r="Z53" i="6"/>
  <c r="Z53" i="2" s="1"/>
  <c r="Y53" i="6"/>
  <c r="Y53" i="2" s="1"/>
  <c r="X53" i="6"/>
  <c r="W53" i="6"/>
  <c r="V53" i="6"/>
  <c r="V53" i="2" s="1"/>
  <c r="U53" i="6"/>
  <c r="T53" i="6"/>
  <c r="S53" i="6"/>
  <c r="S53" i="2" s="1"/>
  <c r="R53" i="6"/>
  <c r="Q53" i="6"/>
  <c r="P53" i="6"/>
  <c r="O53" i="6"/>
  <c r="N53" i="6"/>
  <c r="M53" i="6"/>
  <c r="L53" i="6"/>
  <c r="K53" i="6"/>
  <c r="J53" i="6"/>
  <c r="AH53" i="6" s="1"/>
  <c r="AG52" i="6"/>
  <c r="AG52" i="2" s="1"/>
  <c r="AF52" i="6"/>
  <c r="AF52" i="2" s="1"/>
  <c r="AE52" i="6"/>
  <c r="AE52" i="2"/>
  <c r="AD52" i="6"/>
  <c r="AD52" i="2" s="1"/>
  <c r="AC52" i="6"/>
  <c r="AC52" i="2" s="1"/>
  <c r="AB52" i="6"/>
  <c r="AB52" i="2" s="1"/>
  <c r="AA52" i="6"/>
  <c r="AA52" i="2" s="1"/>
  <c r="Z52" i="6"/>
  <c r="Z52" i="2" s="1"/>
  <c r="Y52" i="6"/>
  <c r="Y52" i="2" s="1"/>
  <c r="X52" i="6"/>
  <c r="W52" i="6"/>
  <c r="V52" i="6"/>
  <c r="U52" i="6"/>
  <c r="T52" i="6"/>
  <c r="S52" i="6"/>
  <c r="R52" i="6"/>
  <c r="Q52" i="6"/>
  <c r="P52" i="6"/>
  <c r="O52" i="6"/>
  <c r="N52" i="6"/>
  <c r="N52" i="2" s="1"/>
  <c r="M52" i="6"/>
  <c r="M52" i="2"/>
  <c r="L52" i="6"/>
  <c r="L52" i="2" s="1"/>
  <c r="K52" i="6"/>
  <c r="J52" i="6"/>
  <c r="AG51" i="6"/>
  <c r="AF51" i="6"/>
  <c r="AE51" i="6"/>
  <c r="AD51" i="6"/>
  <c r="AC51" i="6"/>
  <c r="AB51" i="6"/>
  <c r="AA51" i="6"/>
  <c r="Z51" i="6"/>
  <c r="Y51" i="6"/>
  <c r="X51" i="6"/>
  <c r="W51" i="6"/>
  <c r="V51" i="6"/>
  <c r="U51" i="6"/>
  <c r="T51" i="6"/>
  <c r="S51" i="6"/>
  <c r="R51" i="6"/>
  <c r="Q51" i="6"/>
  <c r="P51" i="6"/>
  <c r="O51" i="6"/>
  <c r="N51" i="6"/>
  <c r="M51" i="6"/>
  <c r="L51" i="6"/>
  <c r="K51" i="6"/>
  <c r="J51" i="6"/>
  <c r="AG50" i="6"/>
  <c r="AF50" i="6"/>
  <c r="AE50" i="6"/>
  <c r="AD50" i="6"/>
  <c r="AC50" i="6"/>
  <c r="AB50" i="6"/>
  <c r="AA50" i="6"/>
  <c r="Z50" i="6"/>
  <c r="Y50" i="6"/>
  <c r="X50" i="6"/>
  <c r="W50" i="6"/>
  <c r="V50" i="6"/>
  <c r="U50" i="6"/>
  <c r="T50" i="6"/>
  <c r="S50" i="6"/>
  <c r="R50" i="6"/>
  <c r="Q50" i="6"/>
  <c r="P50" i="6"/>
  <c r="O50" i="6"/>
  <c r="N50" i="6"/>
  <c r="M50" i="6"/>
  <c r="L50" i="6"/>
  <c r="K50" i="6"/>
  <c r="J50" i="6"/>
  <c r="AG49" i="6"/>
  <c r="AF49" i="6"/>
  <c r="AF49" i="2"/>
  <c r="AE49" i="6"/>
  <c r="AE88" i="6" s="1"/>
  <c r="AD49" i="6"/>
  <c r="AD88" i="6" s="1"/>
  <c r="AC49" i="6"/>
  <c r="AB49" i="6"/>
  <c r="AB88" i="6" s="1"/>
  <c r="AA49" i="6"/>
  <c r="AA49" i="2" s="1"/>
  <c r="Z49" i="6"/>
  <c r="Y49" i="6"/>
  <c r="X49" i="6"/>
  <c r="W49" i="6"/>
  <c r="V49" i="6"/>
  <c r="U49" i="6"/>
  <c r="T49" i="6"/>
  <c r="S49" i="6"/>
  <c r="R49" i="6"/>
  <c r="Q49" i="6"/>
  <c r="P49" i="6"/>
  <c r="O49" i="6"/>
  <c r="N49" i="6"/>
  <c r="M49" i="6"/>
  <c r="L49" i="6"/>
  <c r="K49" i="6"/>
  <c r="J49" i="6"/>
  <c r="AG48" i="6"/>
  <c r="AG48" i="2"/>
  <c r="AF48" i="6"/>
  <c r="AF48" i="2" s="1"/>
  <c r="AE48" i="6"/>
  <c r="AE48" i="2" s="1"/>
  <c r="AD48" i="6"/>
  <c r="AC48" i="6"/>
  <c r="AB48" i="6"/>
  <c r="AA48" i="6"/>
  <c r="Z48" i="6"/>
  <c r="Y48" i="6"/>
  <c r="X48" i="6"/>
  <c r="W48" i="6"/>
  <c r="W48" i="2" s="1"/>
  <c r="V48" i="6"/>
  <c r="U48" i="6"/>
  <c r="T48" i="6"/>
  <c r="S48" i="6"/>
  <c r="R48" i="6"/>
  <c r="Q48" i="6"/>
  <c r="P48" i="6"/>
  <c r="O48" i="6"/>
  <c r="N48" i="6"/>
  <c r="M48" i="6"/>
  <c r="L48" i="6"/>
  <c r="K48" i="6"/>
  <c r="J48" i="6"/>
  <c r="AG47" i="6"/>
  <c r="AF47" i="6"/>
  <c r="AE47" i="6"/>
  <c r="AD47" i="6"/>
  <c r="AC47" i="6"/>
  <c r="AB47" i="6"/>
  <c r="AA47" i="6"/>
  <c r="Z47" i="6"/>
  <c r="Y47" i="6"/>
  <c r="X47" i="6"/>
  <c r="W47" i="6"/>
  <c r="V47" i="6"/>
  <c r="U47" i="6"/>
  <c r="T47" i="6"/>
  <c r="S47" i="6"/>
  <c r="R47" i="6"/>
  <c r="Q47" i="6"/>
  <c r="P47" i="6"/>
  <c r="O47" i="6"/>
  <c r="N47" i="6"/>
  <c r="M47" i="6"/>
  <c r="L47" i="6"/>
  <c r="K47" i="6"/>
  <c r="J47" i="6"/>
  <c r="AG46" i="6"/>
  <c r="AF46" i="6"/>
  <c r="AE46" i="6"/>
  <c r="AD46" i="6"/>
  <c r="AC46" i="6"/>
  <c r="AB46" i="6"/>
  <c r="AA46" i="6"/>
  <c r="Z46" i="6"/>
  <c r="Y46" i="6"/>
  <c r="X46" i="6"/>
  <c r="W46" i="6"/>
  <c r="V46" i="6"/>
  <c r="U46" i="6"/>
  <c r="T46" i="6"/>
  <c r="S46" i="6"/>
  <c r="R46" i="6"/>
  <c r="Q46" i="6"/>
  <c r="P46" i="6"/>
  <c r="O46" i="6"/>
  <c r="N46" i="6"/>
  <c r="M46" i="6"/>
  <c r="L46" i="6"/>
  <c r="K46" i="6"/>
  <c r="J46" i="6"/>
  <c r="AG45" i="6"/>
  <c r="AG45" i="2" s="1"/>
  <c r="AF45" i="6"/>
  <c r="AF45" i="2" s="1"/>
  <c r="AE45" i="6"/>
  <c r="AE45" i="2" s="1"/>
  <c r="AD45" i="6"/>
  <c r="AD45" i="2" s="1"/>
  <c r="AC45" i="6"/>
  <c r="AC45" i="2" s="1"/>
  <c r="AB45" i="6"/>
  <c r="AB45" i="2" s="1"/>
  <c r="AA45" i="6"/>
  <c r="AA45" i="2" s="1"/>
  <c r="Z45" i="6"/>
  <c r="Z45" i="2" s="1"/>
  <c r="Y45" i="6"/>
  <c r="X45" i="6"/>
  <c r="W45" i="6"/>
  <c r="V45" i="6"/>
  <c r="U45" i="6"/>
  <c r="T45" i="6"/>
  <c r="S45" i="6"/>
  <c r="R45" i="6"/>
  <c r="Q45" i="6"/>
  <c r="P45" i="6"/>
  <c r="O45" i="6"/>
  <c r="N45" i="6"/>
  <c r="M45" i="6"/>
  <c r="L45" i="6"/>
  <c r="K45" i="6"/>
  <c r="J45" i="6"/>
  <c r="J45" i="2" s="1"/>
  <c r="AG44" i="6"/>
  <c r="AF44" i="6"/>
  <c r="AE44" i="6"/>
  <c r="AD44" i="6"/>
  <c r="AC44" i="6"/>
  <c r="AB44" i="6"/>
  <c r="AA44" i="6"/>
  <c r="Z44" i="6"/>
  <c r="Y44" i="6"/>
  <c r="X44" i="6"/>
  <c r="W44" i="6"/>
  <c r="V44" i="6"/>
  <c r="U44" i="6"/>
  <c r="T44" i="6"/>
  <c r="S44" i="6"/>
  <c r="R44" i="6"/>
  <c r="Q44" i="6"/>
  <c r="P44" i="6"/>
  <c r="O44" i="6"/>
  <c r="N44" i="6"/>
  <c r="M44" i="6"/>
  <c r="L44" i="6"/>
  <c r="K44" i="6"/>
  <c r="J44" i="6"/>
  <c r="AG41" i="6"/>
  <c r="AG41" i="2" s="1"/>
  <c r="AF41" i="6"/>
  <c r="AF41" i="2" s="1"/>
  <c r="AE41" i="6"/>
  <c r="AE41" i="2" s="1"/>
  <c r="AD41" i="6"/>
  <c r="AD41" i="2" s="1"/>
  <c r="AC41" i="6"/>
  <c r="AC41" i="2" s="1"/>
  <c r="AB41" i="6"/>
  <c r="AB41" i="2" s="1"/>
  <c r="AA41" i="6"/>
  <c r="AA41" i="2" s="1"/>
  <c r="Z41" i="6"/>
  <c r="Z41" i="2" s="1"/>
  <c r="Y41" i="6"/>
  <c r="X41" i="6"/>
  <c r="W41" i="6"/>
  <c r="V41" i="6"/>
  <c r="U41" i="6"/>
  <c r="T41" i="6"/>
  <c r="S41" i="6"/>
  <c r="R41" i="6"/>
  <c r="Q41" i="6"/>
  <c r="P41" i="6"/>
  <c r="O41" i="6"/>
  <c r="N41" i="6"/>
  <c r="M41" i="6"/>
  <c r="L41" i="6"/>
  <c r="K41" i="6"/>
  <c r="J41" i="6"/>
  <c r="J41" i="2" s="1"/>
  <c r="AG40" i="6"/>
  <c r="AF40" i="6"/>
  <c r="AE40" i="6"/>
  <c r="AD40" i="6"/>
  <c r="AC40" i="6"/>
  <c r="AB40" i="6"/>
  <c r="AA40" i="6"/>
  <c r="Z40" i="6"/>
  <c r="Y40" i="6"/>
  <c r="X40" i="6"/>
  <c r="W40" i="6"/>
  <c r="V40" i="6"/>
  <c r="U40" i="6"/>
  <c r="T40" i="6"/>
  <c r="S40" i="6"/>
  <c r="R40" i="6"/>
  <c r="Q40" i="6"/>
  <c r="P40" i="6"/>
  <c r="O40" i="6"/>
  <c r="N40" i="6"/>
  <c r="M40" i="6"/>
  <c r="L40" i="6"/>
  <c r="K40" i="6"/>
  <c r="J40" i="6"/>
  <c r="AG37" i="6"/>
  <c r="AG37" i="2" s="1"/>
  <c r="AF37" i="6"/>
  <c r="AF37" i="2" s="1"/>
  <c r="AD37" i="6"/>
  <c r="AD37" i="2" s="1"/>
  <c r="AC37" i="6"/>
  <c r="AC37" i="2" s="1"/>
  <c r="AB37" i="6"/>
  <c r="AB37" i="2"/>
  <c r="AA37" i="6"/>
  <c r="AA37" i="2" s="1"/>
  <c r="Z37" i="6"/>
  <c r="Z37" i="2" s="1"/>
  <c r="Y37" i="6"/>
  <c r="Y37" i="2" s="1"/>
  <c r="X37" i="6"/>
  <c r="V37" i="6"/>
  <c r="U37" i="6"/>
  <c r="T37" i="6"/>
  <c r="R37" i="6"/>
  <c r="R37" i="2" s="1"/>
  <c r="Q37" i="6"/>
  <c r="P37" i="6"/>
  <c r="O37" i="6"/>
  <c r="N37" i="6"/>
  <c r="L37" i="6"/>
  <c r="L37" i="2" s="1"/>
  <c r="K37" i="6"/>
  <c r="AG36" i="6"/>
  <c r="AG36" i="2" s="1"/>
  <c r="AF36" i="6"/>
  <c r="AF36" i="2" s="1"/>
  <c r="AE36" i="6"/>
  <c r="AE36" i="2" s="1"/>
  <c r="AC36" i="6"/>
  <c r="AC36" i="2"/>
  <c r="AB36" i="6"/>
  <c r="AB36" i="2" s="1"/>
  <c r="AA36" i="6"/>
  <c r="AA36" i="2" s="1"/>
  <c r="Z36" i="6"/>
  <c r="Z36" i="2" s="1"/>
  <c r="Y36" i="6"/>
  <c r="X36" i="6"/>
  <c r="U36" i="6"/>
  <c r="T36" i="6"/>
  <c r="R36" i="6"/>
  <c r="Q36" i="6"/>
  <c r="P36" i="6"/>
  <c r="O36" i="6"/>
  <c r="N36" i="6"/>
  <c r="K36" i="6"/>
  <c r="J36" i="6"/>
  <c r="AG33" i="6"/>
  <c r="AG33" i="2" s="1"/>
  <c r="AF33" i="6"/>
  <c r="AF33" i="2" s="1"/>
  <c r="AD33" i="6"/>
  <c r="AD33" i="2" s="1"/>
  <c r="AC33" i="6"/>
  <c r="AC33" i="2" s="1"/>
  <c r="AB33" i="6"/>
  <c r="AB33" i="2" s="1"/>
  <c r="AA33" i="6"/>
  <c r="AA33" i="2" s="1"/>
  <c r="Z33" i="6"/>
  <c r="Z33" i="2" s="1"/>
  <c r="Y33" i="6"/>
  <c r="Y33" i="2" s="1"/>
  <c r="X33" i="6"/>
  <c r="V33" i="6"/>
  <c r="U33" i="6"/>
  <c r="T33" i="6"/>
  <c r="R33" i="6"/>
  <c r="Q33" i="6"/>
  <c r="P33" i="6"/>
  <c r="O33" i="6"/>
  <c r="N33" i="6"/>
  <c r="L33" i="6"/>
  <c r="K33" i="6"/>
  <c r="AG32" i="6"/>
  <c r="AG32" i="2" s="1"/>
  <c r="AF32" i="6"/>
  <c r="AF32" i="2" s="1"/>
  <c r="AE32" i="6"/>
  <c r="AE32" i="2" s="1"/>
  <c r="AD32" i="6"/>
  <c r="AD32" i="2" s="1"/>
  <c r="AC32" i="6"/>
  <c r="AC32" i="2" s="1"/>
  <c r="AB32" i="6"/>
  <c r="AB32" i="2" s="1"/>
  <c r="AA32" i="6"/>
  <c r="AA32" i="2" s="1"/>
  <c r="Z32" i="6"/>
  <c r="Z32" i="2"/>
  <c r="Y32" i="6"/>
  <c r="X32" i="6"/>
  <c r="W32" i="6"/>
  <c r="V32" i="6"/>
  <c r="U32" i="6"/>
  <c r="T32" i="6"/>
  <c r="S32" i="6"/>
  <c r="R32" i="6"/>
  <c r="Q32" i="6"/>
  <c r="P32" i="6"/>
  <c r="O32" i="6"/>
  <c r="N32" i="6"/>
  <c r="M32" i="6"/>
  <c r="L32" i="6"/>
  <c r="K32" i="6"/>
  <c r="J32" i="6"/>
  <c r="AG29" i="6"/>
  <c r="AG29" i="2" s="1"/>
  <c r="AF29" i="6"/>
  <c r="AF29" i="2"/>
  <c r="AE29" i="6"/>
  <c r="AE29" i="2" s="1"/>
  <c r="AD29" i="6"/>
  <c r="AD29" i="2" s="1"/>
  <c r="AC29" i="6"/>
  <c r="AC29" i="2" s="1"/>
  <c r="AB29" i="6"/>
  <c r="AB29" i="2" s="1"/>
  <c r="AA29" i="6"/>
  <c r="AA29" i="2" s="1"/>
  <c r="Z29" i="6"/>
  <c r="Z29" i="2"/>
  <c r="Y29" i="6"/>
  <c r="Y29" i="2" s="1"/>
  <c r="X29" i="6"/>
  <c r="W29" i="6"/>
  <c r="W29" i="2" s="1"/>
  <c r="V29" i="6"/>
  <c r="U29" i="6"/>
  <c r="T29" i="6"/>
  <c r="S29" i="6"/>
  <c r="R29" i="6"/>
  <c r="Q29" i="6"/>
  <c r="P29" i="6"/>
  <c r="O29" i="6"/>
  <c r="N29" i="6"/>
  <c r="M29" i="6"/>
  <c r="L29" i="6"/>
  <c r="K29" i="6"/>
  <c r="J29" i="6"/>
  <c r="AG28" i="6"/>
  <c r="AG28" i="2"/>
  <c r="AF28" i="6"/>
  <c r="AF28" i="2"/>
  <c r="AE28" i="6"/>
  <c r="AE28" i="2" s="1"/>
  <c r="AD28" i="6"/>
  <c r="AD28" i="2" s="1"/>
  <c r="AC28" i="6"/>
  <c r="AC28" i="2" s="1"/>
  <c r="AB28" i="6"/>
  <c r="AB28" i="2" s="1"/>
  <c r="AA28" i="6"/>
  <c r="AA28" i="2" s="1"/>
  <c r="Z28" i="6"/>
  <c r="Z28" i="2" s="1"/>
  <c r="Y28" i="6"/>
  <c r="X28" i="6"/>
  <c r="W28" i="6"/>
  <c r="V28" i="6"/>
  <c r="U28" i="6"/>
  <c r="T28" i="6"/>
  <c r="S28" i="6"/>
  <c r="R28" i="6"/>
  <c r="Q28" i="6"/>
  <c r="P28" i="6"/>
  <c r="O28" i="6"/>
  <c r="N28" i="6"/>
  <c r="M28" i="6"/>
  <c r="L28" i="6"/>
  <c r="K28" i="6"/>
  <c r="J28" i="6"/>
  <c r="J28" i="2" s="1"/>
  <c r="AG25" i="6"/>
  <c r="AG25" i="2"/>
  <c r="AF25" i="6"/>
  <c r="AF25" i="2" s="1"/>
  <c r="AE25" i="6"/>
  <c r="AE25" i="2" s="1"/>
  <c r="AD25" i="6"/>
  <c r="AD25" i="2"/>
  <c r="AC25" i="6"/>
  <c r="AC25" i="2" s="1"/>
  <c r="AB25" i="6"/>
  <c r="AB25" i="2" s="1"/>
  <c r="AA25" i="6"/>
  <c r="AA25" i="2" s="1"/>
  <c r="Z25" i="6"/>
  <c r="Z25" i="2" s="1"/>
  <c r="Y25" i="6"/>
  <c r="Y25" i="2" s="1"/>
  <c r="X25" i="6"/>
  <c r="W25" i="6"/>
  <c r="V25" i="6"/>
  <c r="V25" i="2" s="1"/>
  <c r="U25" i="6"/>
  <c r="T25" i="6"/>
  <c r="S25" i="6"/>
  <c r="R25" i="6"/>
  <c r="Q25" i="6"/>
  <c r="P25" i="6"/>
  <c r="O25" i="6"/>
  <c r="N25" i="6"/>
  <c r="M25" i="6"/>
  <c r="L25" i="6"/>
  <c r="K25" i="6"/>
  <c r="J25" i="6"/>
  <c r="AG24" i="6"/>
  <c r="AG24" i="2" s="1"/>
  <c r="AF24" i="6"/>
  <c r="AF24" i="2"/>
  <c r="AC24" i="6"/>
  <c r="AC24" i="2" s="1"/>
  <c r="AB24" i="6"/>
  <c r="AB24" i="2" s="1"/>
  <c r="AA24" i="6"/>
  <c r="AA24" i="2" s="1"/>
  <c r="Z24" i="6"/>
  <c r="Y24" i="6"/>
  <c r="X24" i="6"/>
  <c r="U24" i="6"/>
  <c r="T24" i="6"/>
  <c r="Q24" i="6"/>
  <c r="Q86" i="6" s="1"/>
  <c r="P24" i="6"/>
  <c r="P86" i="6" s="1"/>
  <c r="O24" i="6"/>
  <c r="N24" i="6"/>
  <c r="L24" i="6"/>
  <c r="K24" i="6"/>
  <c r="AG20" i="6"/>
  <c r="AG20" i="2" s="1"/>
  <c r="AF20" i="6"/>
  <c r="AF20" i="2" s="1"/>
  <c r="AE20" i="6"/>
  <c r="AE20" i="2" s="1"/>
  <c r="AD20" i="6"/>
  <c r="AD20" i="2" s="1"/>
  <c r="AC20" i="6"/>
  <c r="AB20" i="6"/>
  <c r="AA20" i="6"/>
  <c r="Z20" i="6"/>
  <c r="Y20" i="6"/>
  <c r="Y20" i="2" s="1"/>
  <c r="X20" i="6"/>
  <c r="W20" i="6"/>
  <c r="V20" i="6"/>
  <c r="U20" i="6"/>
  <c r="T20" i="6"/>
  <c r="S20" i="6"/>
  <c r="R20" i="6"/>
  <c r="Q20" i="6"/>
  <c r="P20" i="6"/>
  <c r="O20" i="6"/>
  <c r="O20" i="2" s="1"/>
  <c r="N20" i="6"/>
  <c r="M20" i="6"/>
  <c r="L20" i="6"/>
  <c r="K20" i="6"/>
  <c r="K20" i="2" s="1"/>
  <c r="J20" i="6"/>
  <c r="AG19" i="6"/>
  <c r="AF19" i="6"/>
  <c r="AC19" i="6"/>
  <c r="AB19" i="6"/>
  <c r="AA19" i="6"/>
  <c r="Z19" i="6"/>
  <c r="Y19" i="6"/>
  <c r="X19" i="6"/>
  <c r="U19" i="6"/>
  <c r="T19" i="6"/>
  <c r="Q19" i="6"/>
  <c r="P19" i="6"/>
  <c r="O19" i="6"/>
  <c r="N19" i="6"/>
  <c r="K19" i="6"/>
  <c r="AG18" i="6"/>
  <c r="AG18" i="2" s="1"/>
  <c r="AF18" i="6"/>
  <c r="AF18" i="2" s="1"/>
  <c r="AC18" i="6"/>
  <c r="AC18" i="2" s="1"/>
  <c r="AB18" i="6"/>
  <c r="AB18" i="2" s="1"/>
  <c r="AA18" i="6"/>
  <c r="AA18" i="2" s="1"/>
  <c r="Z18" i="6"/>
  <c r="Z18" i="2" s="1"/>
  <c r="Y18" i="6"/>
  <c r="X18" i="6"/>
  <c r="U18" i="6"/>
  <c r="T18" i="6"/>
  <c r="Q18" i="6"/>
  <c r="P18" i="6"/>
  <c r="O18" i="6"/>
  <c r="N18" i="6"/>
  <c r="K18" i="6"/>
  <c r="AG16" i="6"/>
  <c r="AF16" i="6"/>
  <c r="AC16" i="6"/>
  <c r="AB16" i="6"/>
  <c r="AA16" i="6"/>
  <c r="Z16" i="6"/>
  <c r="Y16" i="6"/>
  <c r="X16" i="6"/>
  <c r="U16" i="6"/>
  <c r="T16" i="6"/>
  <c r="Q16" i="6"/>
  <c r="P16" i="6"/>
  <c r="O16" i="6"/>
  <c r="N16" i="6"/>
  <c r="K16" i="6"/>
  <c r="AG15" i="6"/>
  <c r="AF15" i="6"/>
  <c r="AE15" i="6"/>
  <c r="AC15" i="6"/>
  <c r="AB15" i="6"/>
  <c r="AA15" i="6"/>
  <c r="Z15" i="6"/>
  <c r="Y15" i="6"/>
  <c r="X15" i="6"/>
  <c r="U15" i="6"/>
  <c r="T15" i="6"/>
  <c r="Q15" i="6"/>
  <c r="P15" i="6"/>
  <c r="O15" i="6"/>
  <c r="N15" i="6"/>
  <c r="L15" i="6"/>
  <c r="K15" i="6"/>
  <c r="AE70" i="2"/>
  <c r="AE56" i="6"/>
  <c r="AE56" i="2" s="1"/>
  <c r="AE33" i="6"/>
  <c r="AE33" i="2" s="1"/>
  <c r="AE24" i="6"/>
  <c r="AE24" i="2" s="1"/>
  <c r="AE37" i="6"/>
  <c r="AE37" i="2" s="1"/>
  <c r="AE61" i="6"/>
  <c r="AE61" i="2" s="1"/>
  <c r="AE19" i="6"/>
  <c r="AE67" i="6"/>
  <c r="AE67" i="2" s="1"/>
  <c r="AE74" i="6"/>
  <c r="AE78" i="6"/>
  <c r="AE78" i="2" s="1"/>
  <c r="AE77" i="6"/>
  <c r="AE77" i="2" s="1"/>
  <c r="W33" i="6"/>
  <c r="W37" i="6"/>
  <c r="W61" i="6"/>
  <c r="W65" i="6"/>
  <c r="W67" i="6"/>
  <c r="W78" i="6"/>
  <c r="AI78" i="6"/>
  <c r="S56" i="6"/>
  <c r="S56" i="2" s="1"/>
  <c r="S33" i="6"/>
  <c r="S37" i="6"/>
  <c r="S61" i="6"/>
  <c r="S65" i="6"/>
  <c r="S67" i="6"/>
  <c r="S78" i="6"/>
  <c r="S36" i="6"/>
  <c r="M64" i="6"/>
  <c r="L64" i="6"/>
  <c r="J64" i="6"/>
  <c r="M56" i="6"/>
  <c r="M33" i="6"/>
  <c r="M24" i="6"/>
  <c r="M37" i="6"/>
  <c r="M37" i="2" s="1"/>
  <c r="M65" i="6"/>
  <c r="M65" i="2" s="1"/>
  <c r="M67" i="6"/>
  <c r="M78" i="6"/>
  <c r="M78" i="2" s="1"/>
  <c r="J56" i="6"/>
  <c r="J33" i="6"/>
  <c r="AH33" i="6" s="1"/>
  <c r="J24" i="6"/>
  <c r="J37" i="6"/>
  <c r="J37" i="2" s="1"/>
  <c r="J67" i="6"/>
  <c r="J67" i="2" s="1"/>
  <c r="J78" i="6"/>
  <c r="K60" i="6"/>
  <c r="AE60" i="6"/>
  <c r="AE60" i="2" s="1"/>
  <c r="L14" i="6"/>
  <c r="J60" i="6"/>
  <c r="Z82" i="10"/>
  <c r="W82" i="10"/>
  <c r="J14" i="6"/>
  <c r="AE75" i="6"/>
  <c r="AE18" i="6"/>
  <c r="AE18" i="2" s="1"/>
  <c r="J15" i="6"/>
  <c r="AE16" i="6"/>
  <c r="AE16" i="2" s="1"/>
  <c r="M77" i="6"/>
  <c r="M77" i="2" s="1"/>
  <c r="J75" i="6"/>
  <c r="J75" i="2" s="1"/>
  <c r="AI37" i="6"/>
  <c r="L16" i="6"/>
  <c r="M36" i="6"/>
  <c r="L36" i="6"/>
  <c r="AF14" i="6"/>
  <c r="AE14" i="6"/>
  <c r="AE14" i="2" s="1"/>
  <c r="S64" i="6"/>
  <c r="L77" i="6"/>
  <c r="L77" i="2" s="1"/>
  <c r="AI70" i="6"/>
  <c r="N60" i="6"/>
  <c r="O60" i="6"/>
  <c r="AE65" i="6"/>
  <c r="AE65" i="2" s="1"/>
  <c r="P60" i="6"/>
  <c r="X60" i="6"/>
  <c r="Y60" i="6"/>
  <c r="V82" i="10"/>
  <c r="AD82" i="10"/>
  <c r="AI33" i="6"/>
  <c r="AI67" i="6"/>
  <c r="V36" i="6"/>
  <c r="V36" i="2" s="1"/>
  <c r="AG14" i="6"/>
  <c r="M14" i="6"/>
  <c r="AD36" i="6"/>
  <c r="AD36" i="2" s="1"/>
  <c r="AH78" i="11"/>
  <c r="AH77" i="11"/>
  <c r="AH76" i="11"/>
  <c r="AH75" i="11"/>
  <c r="AH74" i="11"/>
  <c r="AH73" i="11"/>
  <c r="AH72" i="11"/>
  <c r="AH71" i="11"/>
  <c r="AH70" i="11"/>
  <c r="AH69" i="11"/>
  <c r="AH68" i="11"/>
  <c r="AH64" i="11"/>
  <c r="AH57" i="11"/>
  <c r="AH55" i="11"/>
  <c r="AH54" i="11"/>
  <c r="AH53" i="11"/>
  <c r="AH46" i="11"/>
  <c r="AH45" i="11"/>
  <c r="AH44" i="11"/>
  <c r="AH38" i="11"/>
  <c r="AH37" i="11"/>
  <c r="AH87" i="11" s="1"/>
  <c r="AH36" i="11"/>
  <c r="AH35" i="11"/>
  <c r="AH31" i="11"/>
  <c r="AH30" i="11"/>
  <c r="AH29" i="11"/>
  <c r="AH28" i="11"/>
  <c r="AH27" i="11"/>
  <c r="AH26" i="11"/>
  <c r="AH23" i="11"/>
  <c r="AH22" i="11"/>
  <c r="AH21" i="11"/>
  <c r="AH20" i="11"/>
  <c r="AH19" i="11"/>
  <c r="AH18" i="11"/>
  <c r="AH17" i="11"/>
  <c r="AH78" i="10"/>
  <c r="AH77" i="10"/>
  <c r="AH76" i="10"/>
  <c r="AH75" i="10"/>
  <c r="AH74" i="10"/>
  <c r="AH73" i="10"/>
  <c r="AH72" i="10"/>
  <c r="AH71" i="10"/>
  <c r="AH70" i="10"/>
  <c r="AH69" i="10"/>
  <c r="AH68" i="10"/>
  <c r="AH67" i="10"/>
  <c r="AH66" i="10"/>
  <c r="AH63" i="10"/>
  <c r="AH62" i="10"/>
  <c r="AH61" i="10"/>
  <c r="AH60" i="10"/>
  <c r="AH59" i="10"/>
  <c r="AH58" i="10"/>
  <c r="AH57" i="10"/>
  <c r="AH56" i="10"/>
  <c r="AH55" i="10"/>
  <c r="AH54" i="10"/>
  <c r="AH53" i="10"/>
  <c r="AH52" i="10"/>
  <c r="AH51" i="10"/>
  <c r="AH50" i="10"/>
  <c r="AH49" i="10"/>
  <c r="AH48" i="10"/>
  <c r="AH47" i="10"/>
  <c r="AH46" i="10"/>
  <c r="AH45" i="10"/>
  <c r="AH44" i="10"/>
  <c r="AH43" i="10"/>
  <c r="AH42" i="10"/>
  <c r="AH41" i="10"/>
  <c r="AH40" i="10"/>
  <c r="AH39" i="10"/>
  <c r="AH38" i="10"/>
  <c r="AH37" i="10"/>
  <c r="AH36" i="10"/>
  <c r="AH35" i="10"/>
  <c r="AH34" i="10"/>
  <c r="AH33" i="10"/>
  <c r="AH32" i="10"/>
  <c r="AH31" i="10"/>
  <c r="AH30" i="10"/>
  <c r="AH29" i="10"/>
  <c r="AH28" i="10"/>
  <c r="AH27" i="10"/>
  <c r="AH26" i="10"/>
  <c r="AH25" i="10"/>
  <c r="AH24" i="10"/>
  <c r="AH23" i="10"/>
  <c r="AH22" i="10"/>
  <c r="AH21" i="10"/>
  <c r="AH20" i="10"/>
  <c r="AH19" i="10"/>
  <c r="AH17" i="10"/>
  <c r="AH15" i="10"/>
  <c r="AH78" i="9"/>
  <c r="AH77" i="9"/>
  <c r="AH75" i="9"/>
  <c r="AH74" i="9"/>
  <c r="AH73" i="9"/>
  <c r="AH72" i="9"/>
  <c r="AH71" i="9"/>
  <c r="AH70" i="9"/>
  <c r="AH69" i="9"/>
  <c r="AH68" i="9"/>
  <c r="AH67" i="9"/>
  <c r="AH66" i="9"/>
  <c r="AH65" i="9"/>
  <c r="AH64" i="9"/>
  <c r="AH63" i="9"/>
  <c r="AH62" i="9"/>
  <c r="AH61" i="9"/>
  <c r="AH60" i="9"/>
  <c r="AH59" i="9"/>
  <c r="AH58" i="9"/>
  <c r="AH57" i="9"/>
  <c r="AH56" i="9"/>
  <c r="AH55" i="9"/>
  <c r="AH54" i="9"/>
  <c r="AH53" i="9"/>
  <c r="AH88" i="9" s="1"/>
  <c r="AH52" i="9"/>
  <c r="AH51" i="9"/>
  <c r="AH50" i="9"/>
  <c r="AH49" i="9"/>
  <c r="AH48" i="9"/>
  <c r="AH47" i="9"/>
  <c r="AH46" i="9"/>
  <c r="AH45" i="9"/>
  <c r="AH44" i="9"/>
  <c r="AH43" i="9"/>
  <c r="AH42" i="9"/>
  <c r="AH41" i="9"/>
  <c r="AH40" i="9"/>
  <c r="AH39" i="9"/>
  <c r="AH38" i="9"/>
  <c r="AH37" i="9"/>
  <c r="AH36" i="9"/>
  <c r="AH35" i="9"/>
  <c r="AH34" i="9"/>
  <c r="AH33" i="9"/>
  <c r="AH32" i="9"/>
  <c r="AH31" i="9"/>
  <c r="AH30" i="9"/>
  <c r="AH29" i="9"/>
  <c r="AH28" i="9"/>
  <c r="AH27" i="9"/>
  <c r="AH26" i="9"/>
  <c r="AH25" i="9"/>
  <c r="AH24" i="9"/>
  <c r="AH23" i="9"/>
  <c r="AH22" i="9"/>
  <c r="AH21" i="9"/>
  <c r="AH20" i="9"/>
  <c r="AH19" i="9"/>
  <c r="AH18" i="9"/>
  <c r="AH17" i="9"/>
  <c r="AH16" i="9"/>
  <c r="AH14" i="9"/>
  <c r="AH78" i="8"/>
  <c r="AH77" i="8"/>
  <c r="AH76" i="8"/>
  <c r="AH75" i="8"/>
  <c r="AH74" i="8"/>
  <c r="AE201" i="7"/>
  <c r="AE200" i="7"/>
  <c r="AE207" i="7"/>
  <c r="AE206" i="7"/>
  <c r="AE213" i="7"/>
  <c r="AE189" i="7"/>
  <c r="AE188" i="7"/>
  <c r="AE195" i="7"/>
  <c r="AE194" i="7"/>
  <c r="AE177" i="7"/>
  <c r="AE176" i="7"/>
  <c r="AE183" i="7"/>
  <c r="AE182" i="7"/>
  <c r="AE171" i="7"/>
  <c r="AE170" i="7"/>
  <c r="AE165" i="7"/>
  <c r="AE164" i="7"/>
  <c r="AE159" i="7"/>
  <c r="AE158" i="7"/>
  <c r="AE153" i="7"/>
  <c r="AE152" i="7"/>
  <c r="AE147" i="7"/>
  <c r="AE146" i="7"/>
  <c r="AE141" i="7"/>
  <c r="AE140" i="7"/>
  <c r="AE135" i="7"/>
  <c r="AE134" i="7"/>
  <c r="AE322" i="7"/>
  <c r="AE321" i="7"/>
  <c r="AE316" i="7"/>
  <c r="AE315" i="7"/>
  <c r="AE304" i="7"/>
  <c r="AE303" i="7"/>
  <c r="AE298" i="7"/>
  <c r="AE297" i="7"/>
  <c r="AE292" i="7"/>
  <c r="AE291" i="7"/>
  <c r="AE286" i="7"/>
  <c r="AE285" i="7"/>
  <c r="AE280" i="7"/>
  <c r="AE279" i="7"/>
  <c r="AE274" i="7"/>
  <c r="AE273" i="7"/>
  <c r="AE268" i="7"/>
  <c r="AE267" i="7"/>
  <c r="AE256" i="7"/>
  <c r="AE250" i="7"/>
  <c r="AE249" i="7"/>
  <c r="AE244" i="7"/>
  <c r="AE243" i="7"/>
  <c r="AE238" i="7"/>
  <c r="AE237" i="7"/>
  <c r="AE232" i="7"/>
  <c r="AE231" i="7"/>
  <c r="AE226" i="7"/>
  <c r="AE225" i="7"/>
  <c r="AE123" i="7"/>
  <c r="AE122" i="7"/>
  <c r="AE117" i="7"/>
  <c r="AE116" i="7"/>
  <c r="AE111" i="7"/>
  <c r="AE105" i="7"/>
  <c r="AE104" i="7"/>
  <c r="AE99" i="7"/>
  <c r="AE98" i="7"/>
  <c r="AE93" i="7"/>
  <c r="AE92" i="7"/>
  <c r="AE87" i="7"/>
  <c r="AE86" i="7"/>
  <c r="AE81" i="7"/>
  <c r="AE80" i="7"/>
  <c r="AE75" i="7"/>
  <c r="AE74" i="7"/>
  <c r="AE69" i="7"/>
  <c r="AE68" i="7"/>
  <c r="AE63" i="7"/>
  <c r="AE62" i="7"/>
  <c r="AE57" i="7"/>
  <c r="AE56" i="7"/>
  <c r="AE51" i="7"/>
  <c r="AE50" i="7"/>
  <c r="AE45" i="7"/>
  <c r="AE44" i="7"/>
  <c r="AE33" i="7"/>
  <c r="AE32" i="7"/>
  <c r="AE19" i="7"/>
  <c r="AE20" i="7"/>
  <c r="L221" i="7"/>
  <c r="AJ492" i="7"/>
  <c r="AI492" i="7"/>
  <c r="AH492" i="7"/>
  <c r="AG492" i="7"/>
  <c r="AE492" i="7"/>
  <c r="AC492" i="7"/>
  <c r="Y492" i="7"/>
  <c r="U492" i="7"/>
  <c r="O492" i="7"/>
  <c r="M492" i="7"/>
  <c r="AL488" i="7"/>
  <c r="AG488" i="7"/>
  <c r="AG489" i="7" s="1"/>
  <c r="AF488" i="7"/>
  <c r="AF489" i="7"/>
  <c r="AE488" i="7"/>
  <c r="AE489" i="7" s="1"/>
  <c r="AD488" i="7"/>
  <c r="AD489" i="7" s="1"/>
  <c r="AC488" i="7"/>
  <c r="AC489" i="7" s="1"/>
  <c r="AA488" i="7"/>
  <c r="AA489" i="7"/>
  <c r="Y488" i="7"/>
  <c r="Y489" i="7" s="1"/>
  <c r="U488" i="7"/>
  <c r="U489" i="7" s="1"/>
  <c r="Q488" i="7"/>
  <c r="Q489" i="7" s="1"/>
  <c r="E488" i="7"/>
  <c r="E489" i="7" s="1"/>
  <c r="C488" i="7"/>
  <c r="W487" i="7"/>
  <c r="W488" i="7" s="1"/>
  <c r="W489" i="7" s="1"/>
  <c r="S487" i="7"/>
  <c r="S488" i="7"/>
  <c r="S489" i="7" s="1"/>
  <c r="O487" i="7"/>
  <c r="O488" i="7" s="1"/>
  <c r="O489" i="7" s="1"/>
  <c r="L487" i="7"/>
  <c r="L488" i="7" s="1"/>
  <c r="L489" i="7" s="1"/>
  <c r="K487" i="7"/>
  <c r="K488" i="7" s="1"/>
  <c r="K489" i="7" s="1"/>
  <c r="H487" i="7"/>
  <c r="H488" i="7" s="1"/>
  <c r="H489" i="7" s="1"/>
  <c r="G487" i="7"/>
  <c r="G488" i="7"/>
  <c r="G489" i="7" s="1"/>
  <c r="AJ486" i="7"/>
  <c r="AI486" i="7"/>
  <c r="AH486" i="7"/>
  <c r="M486" i="7"/>
  <c r="I486" i="7"/>
  <c r="F486" i="7"/>
  <c r="AJ485" i="7"/>
  <c r="AI485" i="7"/>
  <c r="AH485" i="7"/>
  <c r="AH487" i="7" s="1"/>
  <c r="AH488" i="7" s="1"/>
  <c r="AH489" i="7" s="1"/>
  <c r="M485" i="7"/>
  <c r="I485" i="7"/>
  <c r="F485" i="7"/>
  <c r="AJ484" i="7"/>
  <c r="AI484" i="7"/>
  <c r="AH484" i="7"/>
  <c r="M484" i="7"/>
  <c r="I484" i="7"/>
  <c r="F484" i="7"/>
  <c r="AJ483" i="7"/>
  <c r="AI483" i="7"/>
  <c r="AH483" i="7"/>
  <c r="M483" i="7"/>
  <c r="I483" i="7"/>
  <c r="F483" i="7"/>
  <c r="AL474" i="7"/>
  <c r="AJ474" i="7"/>
  <c r="AH474" i="7"/>
  <c r="AF474" i="7"/>
  <c r="AD474" i="7"/>
  <c r="AA474" i="7"/>
  <c r="W474" i="7"/>
  <c r="S474" i="7"/>
  <c r="O474" i="7"/>
  <c r="L474" i="7"/>
  <c r="I474" i="7"/>
  <c r="G474" i="7"/>
  <c r="E474" i="7"/>
  <c r="K462" i="7"/>
  <c r="F462" i="7"/>
  <c r="E462" i="7"/>
  <c r="K456" i="7"/>
  <c r="F456" i="7"/>
  <c r="E456" i="7"/>
  <c r="G456" i="7" s="1"/>
  <c r="K449" i="7"/>
  <c r="F449" i="7"/>
  <c r="E449" i="7"/>
  <c r="O442" i="7"/>
  <c r="K442" i="7"/>
  <c r="F442" i="7"/>
  <c r="E442" i="7"/>
  <c r="O437" i="7"/>
  <c r="M437" i="7"/>
  <c r="K437" i="7"/>
  <c r="F437" i="7"/>
  <c r="E437" i="7"/>
  <c r="G437" i="7" s="1"/>
  <c r="F431" i="7"/>
  <c r="E431" i="7"/>
  <c r="F423" i="7"/>
  <c r="E423" i="7"/>
  <c r="G423" i="7" s="1"/>
  <c r="O423" i="7" s="1"/>
  <c r="F415" i="7"/>
  <c r="E415" i="7"/>
  <c r="F408" i="7"/>
  <c r="E408" i="7"/>
  <c r="G408" i="7" s="1"/>
  <c r="F402" i="7"/>
  <c r="E402" i="7"/>
  <c r="F397" i="7"/>
  <c r="G397" i="7" s="1"/>
  <c r="F393" i="7"/>
  <c r="E393" i="7"/>
  <c r="F384" i="7"/>
  <c r="Q384" i="7" s="1"/>
  <c r="E384" i="7"/>
  <c r="F379" i="7"/>
  <c r="E379" i="7"/>
  <c r="G379" i="7" s="1"/>
  <c r="F372" i="7"/>
  <c r="E372" i="7"/>
  <c r="O345" i="7"/>
  <c r="L340" i="7"/>
  <c r="AD334" i="7"/>
  <c r="AC334" i="7"/>
  <c r="AA334" i="7"/>
  <c r="Y334" i="7"/>
  <c r="W334" i="7"/>
  <c r="U334" i="7"/>
  <c r="S334" i="7"/>
  <c r="Q334" i="7"/>
  <c r="O334" i="7"/>
  <c r="M334" i="7"/>
  <c r="K334" i="7"/>
  <c r="I334" i="7"/>
  <c r="AD333" i="7"/>
  <c r="AC333" i="7"/>
  <c r="W333" i="7"/>
  <c r="U333" i="7"/>
  <c r="I333" i="7"/>
  <c r="AD331" i="7"/>
  <c r="AC331" i="7"/>
  <c r="AA331" i="7"/>
  <c r="W331" i="7"/>
  <c r="U331" i="7"/>
  <c r="S331" i="7"/>
  <c r="Q331" i="7"/>
  <c r="O331" i="7"/>
  <c r="M331" i="7"/>
  <c r="K331" i="7"/>
  <c r="I331" i="7"/>
  <c r="AD328" i="7"/>
  <c r="AC328" i="7"/>
  <c r="AA328" i="7"/>
  <c r="Y328" i="7"/>
  <c r="W328" i="7"/>
  <c r="U328" i="7"/>
  <c r="S328" i="7"/>
  <c r="Q328" i="7"/>
  <c r="O328" i="7"/>
  <c r="M328" i="7"/>
  <c r="K328" i="7"/>
  <c r="I328" i="7"/>
  <c r="AD327" i="7"/>
  <c r="AC327" i="7"/>
  <c r="AA327" i="7"/>
  <c r="Y327" i="7"/>
  <c r="W327" i="7"/>
  <c r="U327" i="7"/>
  <c r="S327" i="7"/>
  <c r="Q327" i="7"/>
  <c r="O327" i="7"/>
  <c r="M327" i="7"/>
  <c r="K327" i="7"/>
  <c r="I327" i="7"/>
  <c r="AD325" i="7"/>
  <c r="AC325" i="7"/>
  <c r="AA325" i="7"/>
  <c r="Y325" i="7"/>
  <c r="W325" i="7"/>
  <c r="U325" i="7"/>
  <c r="S325" i="7"/>
  <c r="Q325" i="7"/>
  <c r="O325" i="7"/>
  <c r="M325" i="7"/>
  <c r="K325" i="7"/>
  <c r="I325" i="7"/>
  <c r="AD310" i="7"/>
  <c r="AC310" i="7"/>
  <c r="AA310" i="7"/>
  <c r="Y310" i="7"/>
  <c r="W310" i="7"/>
  <c r="U310" i="7"/>
  <c r="S310" i="7"/>
  <c r="Q310" i="7"/>
  <c r="O310" i="7"/>
  <c r="M310" i="7"/>
  <c r="K310" i="7"/>
  <c r="I310" i="7"/>
  <c r="AD309" i="7"/>
  <c r="AC309" i="7"/>
  <c r="AA309" i="7"/>
  <c r="Y309" i="7"/>
  <c r="W309" i="7"/>
  <c r="U309" i="7"/>
  <c r="S309" i="7"/>
  <c r="Q309" i="7"/>
  <c r="O309" i="7"/>
  <c r="M309" i="7"/>
  <c r="K309" i="7"/>
  <c r="I309" i="7"/>
  <c r="AD307" i="7"/>
  <c r="AC307" i="7"/>
  <c r="AA307" i="7"/>
  <c r="Y307" i="7"/>
  <c r="W307" i="7"/>
  <c r="U307" i="7"/>
  <c r="S307" i="7"/>
  <c r="Q307" i="7"/>
  <c r="O307" i="7"/>
  <c r="M307" i="7"/>
  <c r="K307" i="7"/>
  <c r="I307" i="7"/>
  <c r="Q281" i="7"/>
  <c r="AD262" i="7"/>
  <c r="AC262" i="7"/>
  <c r="AA262" i="7"/>
  <c r="Y262" i="7"/>
  <c r="W262" i="7"/>
  <c r="U262" i="7"/>
  <c r="S262" i="7"/>
  <c r="Q262" i="7"/>
  <c r="O262" i="7"/>
  <c r="M262" i="7"/>
  <c r="K262" i="7"/>
  <c r="I262" i="7"/>
  <c r="AD261" i="7"/>
  <c r="AC261" i="7"/>
  <c r="W261" i="7"/>
  <c r="U261" i="7"/>
  <c r="S261" i="7"/>
  <c r="Q261" i="7"/>
  <c r="O261" i="7"/>
  <c r="M261" i="7"/>
  <c r="K261" i="7"/>
  <c r="I261" i="7"/>
  <c r="AD259" i="7"/>
  <c r="AC259" i="7"/>
  <c r="AA259" i="7"/>
  <c r="Y259" i="7"/>
  <c r="W259" i="7"/>
  <c r="U259" i="7"/>
  <c r="S259" i="7"/>
  <c r="Q259" i="7"/>
  <c r="O259" i="7"/>
  <c r="M259" i="7"/>
  <c r="K259" i="7"/>
  <c r="I259" i="7"/>
  <c r="AD219" i="7"/>
  <c r="AC219" i="7"/>
  <c r="AA219" i="7"/>
  <c r="Y219" i="7"/>
  <c r="W219" i="7"/>
  <c r="U219" i="7"/>
  <c r="S219" i="7"/>
  <c r="Q219" i="7"/>
  <c r="O219" i="7"/>
  <c r="M219" i="7"/>
  <c r="K219" i="7"/>
  <c r="I219" i="7"/>
  <c r="AD218" i="7"/>
  <c r="AC218" i="7"/>
  <c r="AA218" i="7"/>
  <c r="Y218" i="7"/>
  <c r="W218" i="7"/>
  <c r="U218" i="7"/>
  <c r="I218" i="7"/>
  <c r="AD216" i="7"/>
  <c r="AC216" i="7"/>
  <c r="AA216" i="7"/>
  <c r="Y216" i="7"/>
  <c r="W216" i="7"/>
  <c r="U216" i="7"/>
  <c r="S216" i="7"/>
  <c r="Q216" i="7"/>
  <c r="O216" i="7"/>
  <c r="M216" i="7"/>
  <c r="M222" i="7" s="1"/>
  <c r="K216" i="7"/>
  <c r="I216" i="7"/>
  <c r="O160" i="7"/>
  <c r="AD129" i="7"/>
  <c r="AC129" i="7"/>
  <c r="AA129" i="7"/>
  <c r="Y129" i="7"/>
  <c r="W129" i="7"/>
  <c r="U129" i="7"/>
  <c r="S129" i="7"/>
  <c r="Q129" i="7"/>
  <c r="O129" i="7"/>
  <c r="M129" i="7"/>
  <c r="K129" i="7"/>
  <c r="I129" i="7"/>
  <c r="AC128" i="7"/>
  <c r="AA128" i="7"/>
  <c r="Y128" i="7"/>
  <c r="W128" i="7"/>
  <c r="U128" i="7"/>
  <c r="S128" i="7"/>
  <c r="Q128" i="7"/>
  <c r="I128" i="7"/>
  <c r="AD126" i="7"/>
  <c r="AC126" i="7"/>
  <c r="AA126" i="7"/>
  <c r="Y126" i="7"/>
  <c r="W126" i="7"/>
  <c r="U126" i="7"/>
  <c r="S126" i="7"/>
  <c r="Q126" i="7"/>
  <c r="O126" i="7"/>
  <c r="M126" i="7"/>
  <c r="K126" i="7"/>
  <c r="I126" i="7"/>
  <c r="F122" i="7"/>
  <c r="M85" i="7"/>
  <c r="M88" i="7" s="1"/>
  <c r="L41" i="7"/>
  <c r="AD39" i="7"/>
  <c r="AC39" i="7"/>
  <c r="AA39" i="7"/>
  <c r="Y39" i="7"/>
  <c r="W39" i="7"/>
  <c r="U39" i="7"/>
  <c r="S39" i="7"/>
  <c r="Q39" i="7"/>
  <c r="O39" i="7"/>
  <c r="M39" i="7"/>
  <c r="K39" i="7"/>
  <c r="I39" i="7"/>
  <c r="AD38" i="7"/>
  <c r="AC38" i="7"/>
  <c r="AA38" i="7"/>
  <c r="Y38" i="7"/>
  <c r="W38" i="7"/>
  <c r="U38" i="7"/>
  <c r="S38" i="7"/>
  <c r="Q38" i="7"/>
  <c r="O38" i="7"/>
  <c r="M38" i="7"/>
  <c r="K38" i="7"/>
  <c r="I38" i="7"/>
  <c r="AD36" i="7"/>
  <c r="AC36" i="7"/>
  <c r="AA36" i="7"/>
  <c r="Y36" i="7"/>
  <c r="W36" i="7"/>
  <c r="U36" i="7"/>
  <c r="S36" i="7"/>
  <c r="Q36" i="7"/>
  <c r="O36" i="7"/>
  <c r="M36" i="7"/>
  <c r="K36" i="7"/>
  <c r="I36" i="7"/>
  <c r="U15" i="7"/>
  <c r="I290" i="7" s="1"/>
  <c r="I293" i="7" s="1"/>
  <c r="M15" i="7"/>
  <c r="F2" i="7"/>
  <c r="AA88" i="4"/>
  <c r="M88" i="4"/>
  <c r="M384" i="7"/>
  <c r="U254" i="7"/>
  <c r="U257" i="7" s="1"/>
  <c r="S145" i="7"/>
  <c r="S148" i="7" s="1"/>
  <c r="AD97" i="7"/>
  <c r="AD100" i="7" s="1"/>
  <c r="U86" i="4"/>
  <c r="O145" i="7"/>
  <c r="O148" i="7" s="1"/>
  <c r="O97" i="7"/>
  <c r="O100" i="7" s="1"/>
  <c r="AC88" i="4"/>
  <c r="O187" i="7"/>
  <c r="O190" i="7" s="1"/>
  <c r="Q181" i="7"/>
  <c r="Q184" i="7" s="1"/>
  <c r="K151" i="7"/>
  <c r="K154" i="7" s="1"/>
  <c r="AH71" i="6"/>
  <c r="AH70" i="6"/>
  <c r="AH69" i="6"/>
  <c r="AH18" i="4"/>
  <c r="AH24" i="4"/>
  <c r="AH25" i="4"/>
  <c r="AH28" i="4"/>
  <c r="AH29" i="4"/>
  <c r="AH32" i="4"/>
  <c r="AH33" i="4"/>
  <c r="AH36" i="4"/>
  <c r="AH37" i="4"/>
  <c r="AH52" i="4"/>
  <c r="AH53" i="4"/>
  <c r="AH56" i="4"/>
  <c r="AH61" i="4"/>
  <c r="AH64" i="4"/>
  <c r="AH65" i="4"/>
  <c r="AH67" i="4"/>
  <c r="AH76" i="4"/>
  <c r="AH77" i="4"/>
  <c r="M18" i="7"/>
  <c r="K18" i="7"/>
  <c r="W18" i="7"/>
  <c r="M284" i="7"/>
  <c r="M287" i="7" s="1"/>
  <c r="Q151" i="7"/>
  <c r="Q154" i="7" s="1"/>
  <c r="Q103" i="7"/>
  <c r="Q106" i="7" s="1"/>
  <c r="S37" i="7"/>
  <c r="S40" i="7" s="1"/>
  <c r="S41" i="7" s="1"/>
  <c r="I211" i="7"/>
  <c r="I214" i="7" s="1"/>
  <c r="U314" i="7"/>
  <c r="U317" i="7" s="1"/>
  <c r="AA133" i="7"/>
  <c r="AA136" i="7" s="1"/>
  <c r="AA85" i="7"/>
  <c r="AA88" i="7" s="1"/>
  <c r="I278" i="7"/>
  <c r="I281" i="7" s="1"/>
  <c r="O49" i="7"/>
  <c r="O52" i="7" s="1"/>
  <c r="M109" i="7"/>
  <c r="I248" i="7"/>
  <c r="K139" i="7"/>
  <c r="I31" i="7"/>
  <c r="I34" i="7" s="1"/>
  <c r="O205" i="7"/>
  <c r="O208" i="7" s="1"/>
  <c r="Y278" i="7"/>
  <c r="Y281" i="7" s="1"/>
  <c r="I487" i="7"/>
  <c r="I488" i="7" s="1"/>
  <c r="I489" i="7" s="1"/>
  <c r="S14" i="10"/>
  <c r="J14" i="10"/>
  <c r="AL12" i="18"/>
  <c r="AL13" i="18"/>
  <c r="AL38" i="18"/>
  <c r="L14" i="10"/>
  <c r="AL24" i="18"/>
  <c r="K14" i="10"/>
  <c r="K84" i="10" s="1"/>
  <c r="F4" i="20"/>
  <c r="I6" i="20"/>
  <c r="G8" i="20"/>
  <c r="I9" i="20"/>
  <c r="Z15" i="9" s="1"/>
  <c r="H5" i="20"/>
  <c r="J6" i="20"/>
  <c r="H8" i="20"/>
  <c r="J9" i="20"/>
  <c r="AD15" i="9"/>
  <c r="H4" i="20"/>
  <c r="F7" i="20"/>
  <c r="F11" i="20" s="1"/>
  <c r="N76" i="9" s="1"/>
  <c r="E5" i="20"/>
  <c r="I4" i="20"/>
  <c r="I5" i="20"/>
  <c r="G7" i="20"/>
  <c r="E6" i="20"/>
  <c r="J4" i="20"/>
  <c r="J5" i="20"/>
  <c r="J8" i="20"/>
  <c r="E7" i="20"/>
  <c r="E4" i="20"/>
  <c r="F5" i="20"/>
  <c r="F6" i="20"/>
  <c r="I7" i="20"/>
  <c r="F9" i="20"/>
  <c r="N15" i="9" s="1"/>
  <c r="G6" i="20"/>
  <c r="J7" i="20"/>
  <c r="G9" i="20"/>
  <c r="R15" i="9" s="1"/>
  <c r="S15" i="9" s="1"/>
  <c r="E9" i="20"/>
  <c r="J15" i="9" s="1"/>
  <c r="G5" i="20"/>
  <c r="H6" i="20"/>
  <c r="F8" i="20"/>
  <c r="O14" i="10"/>
  <c r="O84" i="10" s="1"/>
  <c r="M64" i="10"/>
  <c r="AL37" i="18"/>
  <c r="R14" i="10"/>
  <c r="N64" i="10"/>
  <c r="N86" i="10"/>
  <c r="M20" i="17"/>
  <c r="R8" i="17"/>
  <c r="R16" i="17"/>
  <c r="X37" i="18"/>
  <c r="J15" i="19"/>
  <c r="I19" i="19"/>
  <c r="X19" i="19"/>
  <c r="Y19" i="19"/>
  <c r="Z19" i="19" s="1"/>
  <c r="AA19" i="19" s="1"/>
  <c r="I17" i="19"/>
  <c r="X17" i="19"/>
  <c r="Y17" i="19" s="1"/>
  <c r="Z17" i="19" s="1"/>
  <c r="AA17" i="19" s="1"/>
  <c r="L88" i="4"/>
  <c r="P87" i="10"/>
  <c r="AF87" i="10"/>
  <c r="S85" i="11"/>
  <c r="V87" i="11"/>
  <c r="AG85" i="14"/>
  <c r="N87" i="14"/>
  <c r="AA84" i="8"/>
  <c r="R85" i="8"/>
  <c r="AE85" i="8"/>
  <c r="T88" i="8"/>
  <c r="K87" i="9"/>
  <c r="AA87" i="9"/>
  <c r="M88" i="9"/>
  <c r="Q19" i="15"/>
  <c r="S60" i="11"/>
  <c r="N20" i="17"/>
  <c r="R17" i="17"/>
  <c r="X24" i="18"/>
  <c r="AL17" i="18"/>
  <c r="AA20" i="18"/>
  <c r="I15" i="19"/>
  <c r="X15" i="19" s="1"/>
  <c r="Y15" i="19" s="1"/>
  <c r="Z15" i="19" s="1"/>
  <c r="AA15" i="19" s="1"/>
  <c r="H19" i="19"/>
  <c r="R19" i="19" s="1"/>
  <c r="S19" i="19" s="1"/>
  <c r="T19" i="19" s="1"/>
  <c r="U19" i="19" s="1"/>
  <c r="V19" i="19" s="1"/>
  <c r="W19" i="19" s="1"/>
  <c r="H17" i="19"/>
  <c r="R17" i="19" s="1"/>
  <c r="S17" i="19" s="1"/>
  <c r="T17" i="19" s="1"/>
  <c r="U17" i="19" s="1"/>
  <c r="V17" i="19" s="1"/>
  <c r="W17" i="19" s="1"/>
  <c r="P14" i="19"/>
  <c r="Q14" i="19" s="1"/>
  <c r="AB7" i="19"/>
  <c r="AC7" i="19" s="1"/>
  <c r="AA84" i="10"/>
  <c r="W85" i="10"/>
  <c r="X86" i="10"/>
  <c r="S87" i="10"/>
  <c r="AA88" i="10"/>
  <c r="U85" i="11"/>
  <c r="X86" i="11"/>
  <c r="AD87" i="11"/>
  <c r="O87" i="14"/>
  <c r="S85" i="8"/>
  <c r="AF85" i="8"/>
  <c r="V87" i="8"/>
  <c r="M87" i="9"/>
  <c r="AC87" i="9"/>
  <c r="S88" i="9"/>
  <c r="L60" i="11"/>
  <c r="L86" i="11" s="1"/>
  <c r="T60" i="11"/>
  <c r="Q61" i="11"/>
  <c r="G20" i="17"/>
  <c r="O20" i="17"/>
  <c r="R18" i="17"/>
  <c r="X13" i="18"/>
  <c r="X30" i="18"/>
  <c r="H15" i="19"/>
  <c r="R15" i="19" s="1"/>
  <c r="S15" i="19" s="1"/>
  <c r="T15" i="19" s="1"/>
  <c r="U15" i="19" s="1"/>
  <c r="V15" i="19" s="1"/>
  <c r="W15" i="19" s="1"/>
  <c r="G19" i="19"/>
  <c r="O19" i="19" s="1"/>
  <c r="P19" i="19" s="1"/>
  <c r="Q19" i="19" s="1"/>
  <c r="G17" i="19"/>
  <c r="O17" i="19"/>
  <c r="P17" i="19" s="1"/>
  <c r="Q17" i="19" s="1"/>
  <c r="Z85" i="10"/>
  <c r="V87" i="10"/>
  <c r="W85" i="11"/>
  <c r="AA86" i="11"/>
  <c r="AA88" i="11"/>
  <c r="V87" i="14"/>
  <c r="T84" i="8"/>
  <c r="U85" i="8"/>
  <c r="W87" i="8"/>
  <c r="AB88" i="8"/>
  <c r="N87" i="9"/>
  <c r="AD87" i="9"/>
  <c r="T88" i="9"/>
  <c r="J8" i="19"/>
  <c r="AB8" i="19" s="1"/>
  <c r="AC8" i="19" s="1"/>
  <c r="J20" i="19"/>
  <c r="AB20" i="19" s="1"/>
  <c r="AC20" i="19" s="1"/>
  <c r="AD20" i="19" s="1"/>
  <c r="AE20" i="19" s="1"/>
  <c r="AF20" i="19"/>
  <c r="AG20" i="19" s="1"/>
  <c r="J18" i="19"/>
  <c r="AB18" i="19" s="1"/>
  <c r="AC18" i="19" s="1"/>
  <c r="AD18" i="19" s="1"/>
  <c r="AE18" i="19" s="1"/>
  <c r="AF18" i="19"/>
  <c r="AG18" i="19" s="1"/>
  <c r="J16" i="19"/>
  <c r="AB16" i="19" s="1"/>
  <c r="AC16" i="19" s="1"/>
  <c r="AD16" i="19" s="1"/>
  <c r="AE16" i="19" s="1"/>
  <c r="AF16" i="19" s="1"/>
  <c r="AG16" i="19"/>
  <c r="X7" i="19"/>
  <c r="Y7" i="19" s="1"/>
  <c r="AC87" i="10"/>
  <c r="W87" i="10"/>
  <c r="J85" i="11"/>
  <c r="Z85" i="11"/>
  <c r="AC86" i="11"/>
  <c r="U84" i="8"/>
  <c r="W85" i="8"/>
  <c r="O87" i="9"/>
  <c r="AE87" i="9"/>
  <c r="U88" i="9"/>
  <c r="I20" i="17"/>
  <c r="Q20" i="17"/>
  <c r="Z18" i="18"/>
  <c r="AL18" i="18" s="1"/>
  <c r="I8" i="19"/>
  <c r="X8" i="19" s="1"/>
  <c r="Y8" i="19" s="1"/>
  <c r="I18" i="19"/>
  <c r="X18" i="19" s="1"/>
  <c r="Y18" i="19" s="1"/>
  <c r="Z18" i="19" s="1"/>
  <c r="AA18" i="19" s="1"/>
  <c r="I16" i="19"/>
  <c r="X16" i="19" s="1"/>
  <c r="Y16" i="19" s="1"/>
  <c r="Z16" i="19" s="1"/>
  <c r="AA16" i="19" s="1"/>
  <c r="O7" i="19"/>
  <c r="P7" i="19" s="1"/>
  <c r="Q7" i="19" s="1"/>
  <c r="AB85" i="10"/>
  <c r="X87" i="10"/>
  <c r="AA84" i="11"/>
  <c r="K85" i="11"/>
  <c r="AA85" i="11"/>
  <c r="AF86" i="11"/>
  <c r="AB88" i="11"/>
  <c r="AB84" i="8"/>
  <c r="X85" i="8"/>
  <c r="X86" i="8"/>
  <c r="AD87" i="8"/>
  <c r="S87" i="9"/>
  <c r="AA88" i="9"/>
  <c r="J18" i="8"/>
  <c r="T61" i="11"/>
  <c r="T88" i="11" s="1"/>
  <c r="J20" i="17"/>
  <c r="R5" i="17"/>
  <c r="R13" i="17"/>
  <c r="R62" i="19"/>
  <c r="R64" i="19" s="1"/>
  <c r="AC84" i="10"/>
  <c r="AC85" i="10"/>
  <c r="K87" i="10"/>
  <c r="AA87" i="10"/>
  <c r="M85" i="11"/>
  <c r="AC85" i="11"/>
  <c r="AC87" i="11"/>
  <c r="AF86" i="14"/>
  <c r="AE87" i="14"/>
  <c r="Z85" i="8"/>
  <c r="AF86" i="8"/>
  <c r="AE87" i="8"/>
  <c r="AB88" i="9"/>
  <c r="R6" i="17"/>
  <c r="AB26" i="18"/>
  <c r="AL26" i="18" s="1"/>
  <c r="AD84" i="10"/>
  <c r="AE85" i="10"/>
  <c r="N87" i="10"/>
  <c r="W84" i="11"/>
  <c r="AG85" i="8"/>
  <c r="AA85" i="8"/>
  <c r="AB87" i="9"/>
  <c r="V87" i="9"/>
  <c r="K88" i="9"/>
  <c r="AC88" i="9"/>
  <c r="P19" i="15"/>
  <c r="R15" i="17"/>
  <c r="H77" i="19"/>
  <c r="H75" i="19"/>
  <c r="I77" i="19"/>
  <c r="I75" i="19"/>
  <c r="J77" i="19"/>
  <c r="J75" i="19"/>
  <c r="G73" i="19"/>
  <c r="H76" i="19"/>
  <c r="H74" i="19"/>
  <c r="H73" i="19"/>
  <c r="I76" i="19"/>
  <c r="I74" i="19"/>
  <c r="I73" i="19"/>
  <c r="J76" i="19"/>
  <c r="J74" i="19"/>
  <c r="J73" i="19"/>
  <c r="G15" i="19"/>
  <c r="O15" i="19" s="1"/>
  <c r="P15" i="19" s="1"/>
  <c r="Q15" i="19" s="1"/>
  <c r="J19" i="19"/>
  <c r="AB19" i="19" s="1"/>
  <c r="AC19" i="19" s="1"/>
  <c r="AD19" i="19" s="1"/>
  <c r="AE19" i="19" s="1"/>
  <c r="AF19" i="19" s="1"/>
  <c r="AG19" i="19" s="1"/>
  <c r="AF85" i="5"/>
  <c r="O87" i="10"/>
  <c r="N84" i="11"/>
  <c r="P84" i="11"/>
  <c r="Q84" i="11"/>
  <c r="R84" i="11"/>
  <c r="M20" i="2"/>
  <c r="M25" i="2"/>
  <c r="M45" i="2"/>
  <c r="J87" i="8"/>
  <c r="O84" i="8"/>
  <c r="P85" i="8"/>
  <c r="J52" i="2"/>
  <c r="J53" i="2"/>
  <c r="J61" i="2"/>
  <c r="J56" i="2"/>
  <c r="AH56" i="2" s="1"/>
  <c r="Q86" i="8"/>
  <c r="P84" i="8"/>
  <c r="Q85" i="8"/>
  <c r="P86" i="8"/>
  <c r="P81" i="8"/>
  <c r="N85" i="8"/>
  <c r="K36" i="2"/>
  <c r="K37" i="2"/>
  <c r="K84" i="8"/>
  <c r="J36" i="2"/>
  <c r="J33" i="2"/>
  <c r="J20" i="2"/>
  <c r="J29" i="2"/>
  <c r="J32" i="2"/>
  <c r="J84" i="8"/>
  <c r="J60" i="2"/>
  <c r="AH60" i="2" s="1"/>
  <c r="AH19" i="8"/>
  <c r="M85" i="8"/>
  <c r="M84" i="8"/>
  <c r="L36" i="2"/>
  <c r="L24" i="2"/>
  <c r="L32" i="2"/>
  <c r="L41" i="2"/>
  <c r="L45" i="2"/>
  <c r="L53" i="2"/>
  <c r="AH15" i="8"/>
  <c r="AH16" i="8"/>
  <c r="J88" i="8"/>
  <c r="AH20" i="8"/>
  <c r="AH24" i="8"/>
  <c r="AH25" i="8"/>
  <c r="AH28" i="8"/>
  <c r="AH29" i="8"/>
  <c r="AH32" i="8"/>
  <c r="AH33" i="8"/>
  <c r="AH36" i="8"/>
  <c r="AH37" i="8"/>
  <c r="AH40" i="8"/>
  <c r="AH41" i="8"/>
  <c r="AH44" i="8"/>
  <c r="AH45" i="8"/>
  <c r="AH48" i="8"/>
  <c r="AH49" i="8"/>
  <c r="AH52" i="8"/>
  <c r="AH53" i="8"/>
  <c r="AH56" i="8"/>
  <c r="AH61" i="8"/>
  <c r="AH65" i="8"/>
  <c r="AH67" i="8"/>
  <c r="AH65" i="10"/>
  <c r="L65" i="2"/>
  <c r="J84" i="10"/>
  <c r="S84" i="11"/>
  <c r="M84" i="11"/>
  <c r="O84" i="11"/>
  <c r="P61" i="11"/>
  <c r="P88" i="11" s="1"/>
  <c r="K60" i="11"/>
  <c r="K60" i="2" s="1"/>
  <c r="V84" i="11"/>
  <c r="F20" i="17"/>
  <c r="U84" i="11"/>
  <c r="AH14" i="11"/>
  <c r="P60" i="11"/>
  <c r="M61" i="11"/>
  <c r="U61" i="11"/>
  <c r="R10" i="17"/>
  <c r="R4" i="17"/>
  <c r="Q60" i="11"/>
  <c r="N61" i="11"/>
  <c r="V61" i="11"/>
  <c r="V87" i="4"/>
  <c r="J87" i="4"/>
  <c r="AE88" i="4"/>
  <c r="X87" i="4"/>
  <c r="AE86" i="4"/>
  <c r="P88" i="4"/>
  <c r="AG86" i="4"/>
  <c r="AG88" i="4"/>
  <c r="L86" i="4"/>
  <c r="AG87" i="4"/>
  <c r="AF86" i="4"/>
  <c r="AE87" i="4"/>
  <c r="J88" i="4"/>
  <c r="AF87" i="4"/>
  <c r="AB87" i="4"/>
  <c r="K86" i="4"/>
  <c r="K87" i="4"/>
  <c r="AC87" i="4"/>
  <c r="S88" i="4"/>
  <c r="J86" i="4"/>
  <c r="AD88" i="4"/>
  <c r="AE86" i="5"/>
  <c r="AE87" i="5"/>
  <c r="AE88" i="5"/>
  <c r="AA88" i="5"/>
  <c r="AE85" i="5"/>
  <c r="O65" i="2"/>
  <c r="Z84" i="5"/>
  <c r="AA84" i="5"/>
  <c r="AF88" i="5"/>
  <c r="AG87" i="5"/>
  <c r="K85" i="5"/>
  <c r="AF86" i="5"/>
  <c r="Z88" i="5"/>
  <c r="AG88" i="5"/>
  <c r="Z87" i="5"/>
  <c r="AA86" i="5"/>
  <c r="AD84" i="5"/>
  <c r="AC87" i="5"/>
  <c r="AB88" i="5"/>
  <c r="K84" i="5"/>
  <c r="J84" i="5"/>
  <c r="M88" i="5"/>
  <c r="J88" i="5"/>
  <c r="AA87" i="5"/>
  <c r="J87" i="5"/>
  <c r="K86" i="5"/>
  <c r="AB84" i="5"/>
  <c r="Z85" i="5"/>
  <c r="AC88" i="5"/>
  <c r="J85" i="5"/>
  <c r="AB87" i="5"/>
  <c r="K87" i="5"/>
  <c r="AB86" i="5"/>
  <c r="AD88" i="5"/>
  <c r="AC84" i="5"/>
  <c r="AA85" i="5"/>
  <c r="AD87" i="5"/>
  <c r="AC86" i="5"/>
  <c r="L86" i="5"/>
  <c r="AF87" i="5"/>
  <c r="AE84" i="5"/>
  <c r="AC85" i="5"/>
  <c r="AD86" i="5"/>
  <c r="AD85" i="5"/>
  <c r="Z86" i="5"/>
  <c r="AG85" i="5"/>
  <c r="K88" i="5"/>
  <c r="AG84" i="5"/>
  <c r="AF84" i="5"/>
  <c r="J86" i="5"/>
  <c r="J90" i="5" s="1"/>
  <c r="Y78" i="2"/>
  <c r="U41" i="2"/>
  <c r="Q78" i="2"/>
  <c r="M86" i="4"/>
  <c r="Y86" i="14"/>
  <c r="AE10" i="19"/>
  <c r="AC9" i="19"/>
  <c r="M85" i="14"/>
  <c r="S11" i="19"/>
  <c r="K84" i="14"/>
  <c r="Q8" i="19"/>
  <c r="P11" i="19"/>
  <c r="J85" i="14"/>
  <c r="P9" i="19"/>
  <c r="AC11" i="19"/>
  <c r="W81" i="14"/>
  <c r="W79" i="14" s="1"/>
  <c r="W82" i="14" s="1"/>
  <c r="W86" i="14"/>
  <c r="J86" i="14"/>
  <c r="P10" i="19"/>
  <c r="Y11" i="19"/>
  <c r="Y9" i="19"/>
  <c r="S85" i="14"/>
  <c r="Q13" i="19"/>
  <c r="Y10" i="19"/>
  <c r="Z10" i="19" s="1"/>
  <c r="AA10" i="19" s="1"/>
  <c r="S86" i="14"/>
  <c r="S10" i="19"/>
  <c r="M86" i="14"/>
  <c r="J49" i="2"/>
  <c r="R7" i="19"/>
  <c r="S9" i="19"/>
  <c r="T9" i="19" s="1"/>
  <c r="U9" i="19" s="1"/>
  <c r="V9" i="19" s="1"/>
  <c r="W9" i="19" s="1"/>
  <c r="J84" i="14"/>
  <c r="S14" i="19"/>
  <c r="X86" i="14"/>
  <c r="AC85" i="14"/>
  <c r="W84" i="14"/>
  <c r="Z74" i="2"/>
  <c r="Y87" i="6"/>
  <c r="O24" i="2"/>
  <c r="R25" i="2"/>
  <c r="P52" i="2"/>
  <c r="R52" i="2"/>
  <c r="N67" i="2"/>
  <c r="R68" i="2"/>
  <c r="V78" i="2"/>
  <c r="T64" i="2"/>
  <c r="T68" i="2"/>
  <c r="T77" i="2"/>
  <c r="X78" i="2"/>
  <c r="X24" i="2"/>
  <c r="V67" i="2"/>
  <c r="X67" i="2"/>
  <c r="S25" i="2"/>
  <c r="Y64" i="2"/>
  <c r="Y18" i="2"/>
  <c r="W78" i="2"/>
  <c r="Y68" i="2"/>
  <c r="S67" i="2"/>
  <c r="W61" i="2"/>
  <c r="W65" i="2"/>
  <c r="O77" i="2"/>
  <c r="U56" i="2"/>
  <c r="S68" i="2"/>
  <c r="P78" i="2"/>
  <c r="U18" i="2"/>
  <c r="W33" i="2"/>
  <c r="AI29" i="5"/>
  <c r="O78" i="2"/>
  <c r="AI33" i="5"/>
  <c r="S52" i="2"/>
  <c r="N18" i="2"/>
  <c r="Y65" i="2"/>
  <c r="O68" i="2"/>
  <c r="Y86" i="5"/>
  <c r="T65" i="2"/>
  <c r="Y56" i="2"/>
  <c r="Y88" i="5"/>
  <c r="W37" i="2"/>
  <c r="U52" i="2"/>
  <c r="O18" i="2"/>
  <c r="P56" i="2"/>
  <c r="W68" i="2"/>
  <c r="U37" i="2"/>
  <c r="W53" i="2"/>
  <c r="X52" i="2"/>
  <c r="S88" i="5"/>
  <c r="S86" i="5"/>
  <c r="Y24" i="2"/>
  <c r="Y61" i="2"/>
  <c r="P77" i="2"/>
  <c r="W88" i="5"/>
  <c r="S78" i="2"/>
  <c r="Q77" i="2"/>
  <c r="Y87" i="5"/>
  <c r="X88" i="5"/>
  <c r="W67" i="2"/>
  <c r="T56" i="2"/>
  <c r="Y74" i="2"/>
  <c r="X18" i="2"/>
  <c r="X33" i="2"/>
  <c r="X86" i="5"/>
  <c r="X29" i="2"/>
  <c r="X20" i="2"/>
  <c r="U77" i="2"/>
  <c r="U88" i="5"/>
  <c r="R20" i="2"/>
  <c r="R88" i="2" s="1"/>
  <c r="R86" i="5"/>
  <c r="R64" i="2"/>
  <c r="Q67" i="2"/>
  <c r="Q88" i="5"/>
  <c r="Q65" i="2"/>
  <c r="Q52" i="2"/>
  <c r="P65" i="2"/>
  <c r="O67" i="2"/>
  <c r="O56" i="2"/>
  <c r="T41" i="2"/>
  <c r="T52" i="2"/>
  <c r="U78" i="2"/>
  <c r="T86" i="5"/>
  <c r="X65" i="2"/>
  <c r="X77" i="2"/>
  <c r="X68" i="2"/>
  <c r="X45" i="2"/>
  <c r="X53" i="2"/>
  <c r="X37" i="2"/>
  <c r="Y41" i="2"/>
  <c r="Y45" i="2"/>
  <c r="X61" i="2"/>
  <c r="X56" i="2"/>
  <c r="V52" i="2"/>
  <c r="W25" i="2"/>
  <c r="W41" i="2"/>
  <c r="V88" i="5"/>
  <c r="V68" i="2"/>
  <c r="W87" i="5"/>
  <c r="V41" i="2"/>
  <c r="V56" i="2"/>
  <c r="U53" i="2"/>
  <c r="T78" i="2"/>
  <c r="T88" i="5"/>
  <c r="T25" i="2"/>
  <c r="U64" i="2"/>
  <c r="T53" i="2"/>
  <c r="S37" i="2"/>
  <c r="R88" i="5"/>
  <c r="R78" i="2"/>
  <c r="AH75" i="5"/>
  <c r="AH65" i="5"/>
  <c r="N65" i="2"/>
  <c r="AH61" i="5"/>
  <c r="AH76" i="5"/>
  <c r="N78" i="2"/>
  <c r="O88" i="5"/>
  <c r="Q81" i="8"/>
  <c r="Q79" i="8" s="1"/>
  <c r="Q82" i="8" s="1"/>
  <c r="L85" i="8"/>
  <c r="Q25" i="2"/>
  <c r="K24" i="2"/>
  <c r="K33" i="2"/>
  <c r="K56" i="2"/>
  <c r="K68" i="2"/>
  <c r="K25" i="2"/>
  <c r="K28" i="2"/>
  <c r="K29" i="2"/>
  <c r="K32" i="2"/>
  <c r="K41" i="2"/>
  <c r="K45" i="2"/>
  <c r="K52" i="2"/>
  <c r="K53" i="2"/>
  <c r="K65" i="2"/>
  <c r="K88" i="8"/>
  <c r="AB87" i="6"/>
  <c r="AF88" i="6"/>
  <c r="AH70" i="2"/>
  <c r="X86" i="6"/>
  <c r="X88" i="6"/>
  <c r="X48" i="2"/>
  <c r="AC20" i="2"/>
  <c r="AD48" i="2"/>
  <c r="W20" i="2"/>
  <c r="W49" i="2"/>
  <c r="W89" i="2" s="1"/>
  <c r="AC81" i="14"/>
  <c r="AC79" i="14" s="1"/>
  <c r="AC82" i="14" s="1"/>
  <c r="AA88" i="14"/>
  <c r="S84" i="14"/>
  <c r="K49" i="2"/>
  <c r="L87" i="6"/>
  <c r="O88" i="6"/>
  <c r="N86" i="6"/>
  <c r="Y88" i="6"/>
  <c r="T88" i="6"/>
  <c r="K88" i="6"/>
  <c r="P88" i="6"/>
  <c r="O86" i="6"/>
  <c r="V88" i="6"/>
  <c r="AH51" i="6"/>
  <c r="L88" i="6"/>
  <c r="AG88" i="2"/>
  <c r="AH73" i="6"/>
  <c r="AH52" i="6"/>
  <c r="AH76" i="6"/>
  <c r="Z87" i="6"/>
  <c r="AA88" i="6"/>
  <c r="U88" i="6"/>
  <c r="AB20" i="2"/>
  <c r="AH50" i="6"/>
  <c r="L84" i="6"/>
  <c r="J84" i="6"/>
  <c r="AA20" i="2"/>
  <c r="S20" i="2"/>
  <c r="P87" i="6"/>
  <c r="K87" i="6"/>
  <c r="AH28" i="6"/>
  <c r="AH29" i="6"/>
  <c r="AH45" i="6"/>
  <c r="AH47" i="6"/>
  <c r="Z85" i="6"/>
  <c r="N87" i="6"/>
  <c r="AH49" i="6"/>
  <c r="AG87" i="6"/>
  <c r="AF89" i="2"/>
  <c r="R88" i="6"/>
  <c r="Y60" i="2"/>
  <c r="AA87" i="6"/>
  <c r="Z20" i="2"/>
  <c r="AA85" i="6"/>
  <c r="AH37" i="6"/>
  <c r="N88" i="6"/>
  <c r="K86" i="6"/>
  <c r="U14" i="6"/>
  <c r="AF60" i="6"/>
  <c r="AF86" i="6"/>
  <c r="J65" i="6"/>
  <c r="AI65" i="6"/>
  <c r="M15" i="6"/>
  <c r="M84" i="6"/>
  <c r="J16" i="6"/>
  <c r="J16" i="2" s="1"/>
  <c r="AI36" i="6"/>
  <c r="K14" i="6"/>
  <c r="S88" i="6"/>
  <c r="M18" i="6"/>
  <c r="M18" i="2" s="1"/>
  <c r="L18" i="6"/>
  <c r="J74" i="6"/>
  <c r="R60" i="6"/>
  <c r="Q60" i="6"/>
  <c r="V64" i="6"/>
  <c r="V64" i="2"/>
  <c r="T14" i="6"/>
  <c r="Z60" i="6"/>
  <c r="Z60" i="2" s="1"/>
  <c r="Z86" i="6"/>
  <c r="J86" i="6"/>
  <c r="J24" i="2"/>
  <c r="AH67" i="6"/>
  <c r="R24" i="6"/>
  <c r="W36" i="6"/>
  <c r="W60" i="6"/>
  <c r="W60" i="2" s="1"/>
  <c r="W64" i="6"/>
  <c r="W64" i="2" s="1"/>
  <c r="AD64" i="6"/>
  <c r="AD64" i="2" s="1"/>
  <c r="AI64" i="6"/>
  <c r="M16" i="6"/>
  <c r="S60" i="6"/>
  <c r="S60" i="2"/>
  <c r="J19" i="6"/>
  <c r="T85" i="6"/>
  <c r="W88" i="6"/>
  <c r="AE87" i="6"/>
  <c r="AI61" i="6"/>
  <c r="L75" i="6"/>
  <c r="W56" i="6"/>
  <c r="W56" i="2"/>
  <c r="J18" i="6"/>
  <c r="J77" i="6"/>
  <c r="J77" i="2" s="1"/>
  <c r="AE86" i="6"/>
  <c r="AI56" i="6"/>
  <c r="X85" i="6"/>
  <c r="M60" i="6"/>
  <c r="AB85" i="6"/>
  <c r="N85" i="6"/>
  <c r="Z88" i="6"/>
  <c r="AH46" i="6"/>
  <c r="AF84" i="6"/>
  <c r="AC85" i="6"/>
  <c r="U87" i="6"/>
  <c r="AE81" i="6"/>
  <c r="AH32" i="6"/>
  <c r="AH40" i="6"/>
  <c r="S65" i="2"/>
  <c r="L20" i="2"/>
  <c r="M67" i="2"/>
  <c r="Y85" i="6"/>
  <c r="O87" i="6"/>
  <c r="AC87" i="6"/>
  <c r="AH41" i="6"/>
  <c r="AG84" i="6"/>
  <c r="AE85" i="6"/>
  <c r="AE84" i="6"/>
  <c r="O85" i="6"/>
  <c r="Q87" i="6"/>
  <c r="X87" i="6"/>
  <c r="AF87" i="6"/>
  <c r="T37" i="2"/>
  <c r="T87" i="6"/>
  <c r="AH20" i="6"/>
  <c r="M87" i="6"/>
  <c r="AH44" i="6"/>
  <c r="AF16" i="2"/>
  <c r="AF86" i="2" s="1"/>
  <c r="V20" i="2"/>
  <c r="Q85" i="6"/>
  <c r="Y86" i="6"/>
  <c r="Q37" i="2"/>
  <c r="Q53" i="2"/>
  <c r="P67" i="2"/>
  <c r="P18" i="2"/>
  <c r="O37" i="2"/>
  <c r="O53" i="2"/>
  <c r="P68" i="2"/>
  <c r="Q68" i="2"/>
  <c r="O86" i="5"/>
  <c r="AH44" i="5"/>
  <c r="N56" i="2"/>
  <c r="AH56" i="5"/>
  <c r="Q20" i="2"/>
  <c r="Q24" i="2"/>
  <c r="Q87" i="2" s="1"/>
  <c r="O25" i="2"/>
  <c r="Q18" i="2"/>
  <c r="P64" i="2"/>
  <c r="Q64" i="2"/>
  <c r="AH77" i="5"/>
  <c r="N68" i="2"/>
  <c r="AH68" i="2" s="1"/>
  <c r="P60" i="2"/>
  <c r="P37" i="2"/>
  <c r="P45" i="2"/>
  <c r="P53" i="2"/>
  <c r="AH20" i="4"/>
  <c r="T86" i="4"/>
  <c r="S49" i="2"/>
  <c r="Q86" i="4"/>
  <c r="Z88" i="4"/>
  <c r="Z49" i="2"/>
  <c r="X88" i="4"/>
  <c r="AC86" i="4"/>
  <c r="U88" i="4"/>
  <c r="U49" i="2"/>
  <c r="Y86" i="4"/>
  <c r="U339" i="7"/>
  <c r="AF334" i="7"/>
  <c r="AB86" i="4"/>
  <c r="AD86" i="4"/>
  <c r="AC19" i="2"/>
  <c r="Y88" i="4"/>
  <c r="Y49" i="2"/>
  <c r="AB49" i="2"/>
  <c r="AB89" i="2" s="1"/>
  <c r="AB88" i="4"/>
  <c r="X60" i="2"/>
  <c r="Y87" i="4"/>
  <c r="AC48" i="2"/>
  <c r="U20" i="2"/>
  <c r="AA87" i="4"/>
  <c r="W86" i="4"/>
  <c r="R84" i="9"/>
  <c r="K64" i="10"/>
  <c r="K86" i="10" s="1"/>
  <c r="V61" i="2"/>
  <c r="K88" i="14"/>
  <c r="L88" i="14"/>
  <c r="M21" i="7"/>
  <c r="M22" i="7" s="1"/>
  <c r="J85" i="8"/>
  <c r="Q61" i="2"/>
  <c r="Z84" i="9"/>
  <c r="AA15" i="9"/>
  <c r="R84" i="10"/>
  <c r="O15" i="9"/>
  <c r="P15" i="9" s="1"/>
  <c r="N84" i="9"/>
  <c r="I251" i="7"/>
  <c r="V88" i="11"/>
  <c r="S84" i="10"/>
  <c r="AD84" i="9"/>
  <c r="AE15" i="9"/>
  <c r="L84" i="10"/>
  <c r="AE87" i="2"/>
  <c r="W21" i="7"/>
  <c r="W22" i="7" s="1"/>
  <c r="M86" i="10"/>
  <c r="K15" i="9"/>
  <c r="J84" i="9"/>
  <c r="K142" i="7"/>
  <c r="K21" i="7"/>
  <c r="K22" i="7" s="1"/>
  <c r="AE79" i="6"/>
  <c r="AE82" i="6" s="1"/>
  <c r="U88" i="11"/>
  <c r="U61" i="2"/>
  <c r="P79" i="8"/>
  <c r="P82" i="8" s="1"/>
  <c r="M88" i="2"/>
  <c r="AH88" i="8"/>
  <c r="AH87" i="8"/>
  <c r="AB88" i="2"/>
  <c r="J88" i="2"/>
  <c r="AA89" i="2"/>
  <c r="AE88" i="2"/>
  <c r="AC88" i="2"/>
  <c r="Z89" i="2"/>
  <c r="AA88" i="2"/>
  <c r="Z88" i="2"/>
  <c r="P61" i="2"/>
  <c r="P86" i="11"/>
  <c r="P81" i="11"/>
  <c r="P79" i="11" s="1"/>
  <c r="P82" i="11" s="1"/>
  <c r="K86" i="11"/>
  <c r="Q86" i="11"/>
  <c r="Q81" i="11"/>
  <c r="Q79" i="11" s="1"/>
  <c r="Q82" i="11" s="1"/>
  <c r="M61" i="2"/>
  <c r="M88" i="11"/>
  <c r="N61" i="2"/>
  <c r="J87" i="6"/>
  <c r="AD49" i="2"/>
  <c r="AD89" i="2" s="1"/>
  <c r="Z86" i="4"/>
  <c r="AD90" i="5"/>
  <c r="AF90" i="5"/>
  <c r="AC90" i="5"/>
  <c r="Z90" i="5"/>
  <c r="AA90" i="5"/>
  <c r="K90" i="5"/>
  <c r="N86" i="4"/>
  <c r="V86" i="4"/>
  <c r="W85" i="14"/>
  <c r="AD8" i="19"/>
  <c r="S7" i="19"/>
  <c r="Z8" i="19"/>
  <c r="AA8" i="19" s="1"/>
  <c r="Z11" i="19"/>
  <c r="AD11" i="19"/>
  <c r="T11" i="19"/>
  <c r="U11" i="19" s="1"/>
  <c r="V11" i="19" s="1"/>
  <c r="W11" i="19" s="1"/>
  <c r="M48" i="2"/>
  <c r="J81" i="14"/>
  <c r="J79" i="14" s="1"/>
  <c r="Q9" i="19"/>
  <c r="N86" i="14"/>
  <c r="T10" i="19"/>
  <c r="U10" i="19" s="1"/>
  <c r="V10" i="19" s="1"/>
  <c r="W10" i="19" s="1"/>
  <c r="S81" i="14"/>
  <c r="S79" i="14"/>
  <c r="S82" i="14" s="1"/>
  <c r="Q10" i="19"/>
  <c r="X85" i="14"/>
  <c r="AD9" i="19"/>
  <c r="AE9" i="19" s="1"/>
  <c r="AF9" i="19" s="1"/>
  <c r="AG9" i="19" s="1"/>
  <c r="X84" i="14"/>
  <c r="AD7" i="19"/>
  <c r="Z9" i="19"/>
  <c r="T14" i="19"/>
  <c r="L84" i="14"/>
  <c r="Q11" i="19"/>
  <c r="AF10" i="19"/>
  <c r="Z86" i="14"/>
  <c r="Z7" i="19"/>
  <c r="AA7" i="19" s="1"/>
  <c r="K88" i="2"/>
  <c r="Y89" i="2"/>
  <c r="X49" i="2"/>
  <c r="X89" i="2" s="1"/>
  <c r="X87" i="5"/>
  <c r="X88" i="2"/>
  <c r="T24" i="2"/>
  <c r="T87" i="2" s="1"/>
  <c r="AH64" i="5"/>
  <c r="AH41" i="2"/>
  <c r="T20" i="2"/>
  <c r="P88" i="5"/>
  <c r="AH52" i="2"/>
  <c r="K89" i="2"/>
  <c r="AE86" i="2"/>
  <c r="M86" i="6"/>
  <c r="AH36" i="6"/>
  <c r="AH64" i="6"/>
  <c r="S89" i="2"/>
  <c r="T84" i="6"/>
  <c r="T90" i="6" s="1"/>
  <c r="AH67" i="2"/>
  <c r="AF60" i="2"/>
  <c r="AF81" i="6"/>
  <c r="J81" i="6"/>
  <c r="J79" i="6" s="1"/>
  <c r="AH56" i="6"/>
  <c r="T60" i="6"/>
  <c r="T60" i="2" s="1"/>
  <c r="R24" i="2"/>
  <c r="R87" i="2" s="1"/>
  <c r="R86" i="6"/>
  <c r="J65" i="2"/>
  <c r="AH65" i="2" s="1"/>
  <c r="J88" i="6"/>
  <c r="AH65" i="6"/>
  <c r="AH88" i="6"/>
  <c r="M75" i="6"/>
  <c r="L60" i="6"/>
  <c r="L60" i="2" s="1"/>
  <c r="R75" i="6"/>
  <c r="S16" i="6"/>
  <c r="N14" i="6"/>
  <c r="N81" i="6" s="1"/>
  <c r="N79" i="6" s="1"/>
  <c r="N82" i="6" s="1"/>
  <c r="R77" i="6"/>
  <c r="R87" i="6"/>
  <c r="AA60" i="6"/>
  <c r="L74" i="6"/>
  <c r="K81" i="6"/>
  <c r="K79" i="6"/>
  <c r="K82" i="6" s="1"/>
  <c r="K84" i="6"/>
  <c r="K90" i="6" s="1"/>
  <c r="S14" i="6"/>
  <c r="S84" i="6" s="1"/>
  <c r="S90" i="6" s="1"/>
  <c r="AG60" i="6"/>
  <c r="X14" i="6"/>
  <c r="X84" i="6" s="1"/>
  <c r="X90" i="6" s="1"/>
  <c r="R15" i="6"/>
  <c r="U84" i="6"/>
  <c r="L19" i="6"/>
  <c r="L18" i="2"/>
  <c r="R16" i="6"/>
  <c r="R85" i="6" s="1"/>
  <c r="S24" i="6"/>
  <c r="AE90" i="6"/>
  <c r="AE91" i="6" s="1"/>
  <c r="AF90" i="6"/>
  <c r="AH53" i="5"/>
  <c r="N53" i="2"/>
  <c r="O88" i="2"/>
  <c r="N88" i="5"/>
  <c r="AH49" i="5"/>
  <c r="AH88" i="5" s="1"/>
  <c r="AH33" i="2"/>
  <c r="N45" i="2"/>
  <c r="AH45" i="5"/>
  <c r="N37" i="2"/>
  <c r="AH37" i="2"/>
  <c r="AH37" i="5"/>
  <c r="N20" i="2"/>
  <c r="AH20" i="5"/>
  <c r="AH40" i="5"/>
  <c r="N86" i="5"/>
  <c r="N24" i="2"/>
  <c r="AH24" i="5"/>
  <c r="N25" i="2"/>
  <c r="AH25" i="5"/>
  <c r="P86" i="5"/>
  <c r="P24" i="2"/>
  <c r="P87" i="2" s="1"/>
  <c r="P20" i="2"/>
  <c r="Q88" i="2"/>
  <c r="T88" i="4"/>
  <c r="T49" i="2"/>
  <c r="Q60" i="2"/>
  <c r="Q88" i="4"/>
  <c r="N88" i="4"/>
  <c r="X86" i="4"/>
  <c r="V88" i="4"/>
  <c r="V49" i="2"/>
  <c r="V89" i="2" s="1"/>
  <c r="O88" i="4"/>
  <c r="U88" i="2"/>
  <c r="Y88" i="2"/>
  <c r="O84" i="9"/>
  <c r="AB15" i="9"/>
  <c r="AC15" i="9" s="1"/>
  <c r="AC84" i="9" s="1"/>
  <c r="AA84" i="9"/>
  <c r="L15" i="9"/>
  <c r="M15" i="9" s="1"/>
  <c r="M84" i="9" s="1"/>
  <c r="K84" i="9"/>
  <c r="AE84" i="9"/>
  <c r="AF15" i="9"/>
  <c r="AF84" i="9" s="1"/>
  <c r="T15" i="9"/>
  <c r="U15" i="9" s="1"/>
  <c r="S84" i="9"/>
  <c r="U89" i="2"/>
  <c r="AF79" i="6"/>
  <c r="AF82" i="6" s="1"/>
  <c r="AF87" i="2"/>
  <c r="T88" i="2"/>
  <c r="AH53" i="2"/>
  <c r="T89" i="2"/>
  <c r="AH61" i="2"/>
  <c r="AH45" i="2"/>
  <c r="P88" i="2"/>
  <c r="R86" i="4"/>
  <c r="U14" i="19"/>
  <c r="V14" i="19" s="1"/>
  <c r="W14" i="19" s="1"/>
  <c r="K85" i="14"/>
  <c r="K16" i="2"/>
  <c r="K86" i="2" s="1"/>
  <c r="T7" i="19"/>
  <c r="T86" i="14"/>
  <c r="T48" i="2"/>
  <c r="K86" i="14"/>
  <c r="K48" i="2"/>
  <c r="N48" i="2"/>
  <c r="T84" i="14"/>
  <c r="T81" i="14"/>
  <c r="T79" i="14" s="1"/>
  <c r="T82" i="14" s="1"/>
  <c r="L86" i="14"/>
  <c r="L48" i="2"/>
  <c r="AE11" i="19"/>
  <c r="AF11" i="19" s="1"/>
  <c r="AG11" i="19" s="1"/>
  <c r="X81" i="14"/>
  <c r="X79" i="14" s="1"/>
  <c r="X82" i="14" s="1"/>
  <c r="N88" i="14"/>
  <c r="L85" i="14"/>
  <c r="N49" i="2"/>
  <c r="T85" i="14"/>
  <c r="AA11" i="19"/>
  <c r="AE8" i="19"/>
  <c r="AF8" i="19" s="1"/>
  <c r="AG8" i="19" s="1"/>
  <c r="AA9" i="19"/>
  <c r="N85" i="14"/>
  <c r="Z48" i="2"/>
  <c r="K81" i="14"/>
  <c r="K79" i="14" s="1"/>
  <c r="K82" i="14" s="1"/>
  <c r="M84" i="14"/>
  <c r="M81" i="14"/>
  <c r="M79" i="14" s="1"/>
  <c r="M82" i="14" s="1"/>
  <c r="AG10" i="19"/>
  <c r="AE7" i="19"/>
  <c r="L81" i="14"/>
  <c r="L79" i="14"/>
  <c r="L82" i="14" s="1"/>
  <c r="AF91" i="6"/>
  <c r="L81" i="6"/>
  <c r="L79" i="6" s="1"/>
  <c r="L82" i="6" s="1"/>
  <c r="J90" i="6"/>
  <c r="R75" i="2"/>
  <c r="O14" i="6"/>
  <c r="O84" i="6" s="1"/>
  <c r="O90" i="6" s="1"/>
  <c r="V14" i="6"/>
  <c r="V16" i="6"/>
  <c r="V85" i="6" s="1"/>
  <c r="L86" i="6"/>
  <c r="T86" i="6"/>
  <c r="T81" i="6"/>
  <c r="T79" i="6" s="1"/>
  <c r="T82" i="6" s="1"/>
  <c r="AH20" i="2"/>
  <c r="M74" i="6"/>
  <c r="R77" i="2"/>
  <c r="U60" i="6"/>
  <c r="L85" i="6"/>
  <c r="S77" i="6"/>
  <c r="S77" i="2" s="1"/>
  <c r="V24" i="6"/>
  <c r="V24" i="2" s="1"/>
  <c r="V87" i="2" s="1"/>
  <c r="R18" i="6"/>
  <c r="S15" i="6"/>
  <c r="Y14" i="6"/>
  <c r="Y81" i="6" s="1"/>
  <c r="Y79" i="6" s="1"/>
  <c r="Y82" i="6" s="1"/>
  <c r="AB60" i="6"/>
  <c r="AB60" i="2" s="1"/>
  <c r="S75" i="6"/>
  <c r="AA86" i="6"/>
  <c r="AA60" i="2"/>
  <c r="AG60" i="2"/>
  <c r="AG86" i="6"/>
  <c r="AG90" i="6"/>
  <c r="AG81" i="6"/>
  <c r="AG79" i="6" s="1"/>
  <c r="AG82" i="6" s="1"/>
  <c r="S24" i="2"/>
  <c r="S87" i="2" s="1"/>
  <c r="S86" i="6"/>
  <c r="M19" i="6"/>
  <c r="J89" i="2"/>
  <c r="N88" i="2"/>
  <c r="R88" i="4"/>
  <c r="AH49" i="4"/>
  <c r="AH88" i="4" s="1"/>
  <c r="O86" i="4"/>
  <c r="AH60" i="4"/>
  <c r="T84" i="9"/>
  <c r="AE85" i="2"/>
  <c r="AE91" i="2" s="1"/>
  <c r="AE82" i="2"/>
  <c r="AB84" i="9"/>
  <c r="AG15" i="9"/>
  <c r="L84" i="9"/>
  <c r="N89" i="2"/>
  <c r="N87" i="2"/>
  <c r="AF7" i="19"/>
  <c r="AG7" i="19" s="1"/>
  <c r="Y85" i="14"/>
  <c r="V84" i="14"/>
  <c r="V81" i="14"/>
  <c r="V79" i="14"/>
  <c r="V82" i="14" s="1"/>
  <c r="Y81" i="14"/>
  <c r="Y79" i="14" s="1"/>
  <c r="Y82" i="14" s="1"/>
  <c r="Y84" i="14"/>
  <c r="O86" i="14"/>
  <c r="O48" i="2"/>
  <c r="U86" i="14"/>
  <c r="U48" i="2"/>
  <c r="U85" i="14"/>
  <c r="O85" i="14"/>
  <c r="V86" i="14"/>
  <c r="V48" i="2"/>
  <c r="V85" i="14"/>
  <c r="O88" i="14"/>
  <c r="O49" i="2"/>
  <c r="AA86" i="14"/>
  <c r="N84" i="14"/>
  <c r="N81" i="14"/>
  <c r="N79" i="14" s="1"/>
  <c r="N82" i="14" s="1"/>
  <c r="AB86" i="14"/>
  <c r="AB48" i="2"/>
  <c r="U84" i="14"/>
  <c r="U81" i="14"/>
  <c r="U79" i="14" s="1"/>
  <c r="U82" i="14" s="1"/>
  <c r="U7" i="19"/>
  <c r="V7" i="19" s="1"/>
  <c r="W7" i="19" s="1"/>
  <c r="S87" i="6"/>
  <c r="L90" i="6"/>
  <c r="P14" i="6"/>
  <c r="AD60" i="6"/>
  <c r="AD60" i="2" s="1"/>
  <c r="AC60" i="6"/>
  <c r="AC60" i="2" s="1"/>
  <c r="R18" i="2"/>
  <c r="AD24" i="6"/>
  <c r="W24" i="6"/>
  <c r="W24" i="2" s="1"/>
  <c r="W87" i="2" s="1"/>
  <c r="R19" i="6"/>
  <c r="AI24" i="6"/>
  <c r="AB86" i="6"/>
  <c r="S18" i="6"/>
  <c r="S18" i="2" s="1"/>
  <c r="AG87" i="2"/>
  <c r="R74" i="6"/>
  <c r="W14" i="6"/>
  <c r="W84" i="6" s="1"/>
  <c r="W90" i="6" s="1"/>
  <c r="V75" i="6"/>
  <c r="Z14" i="6"/>
  <c r="Z84" i="6" s="1"/>
  <c r="Z90" i="6" s="1"/>
  <c r="V60" i="6"/>
  <c r="M81" i="6"/>
  <c r="M79" i="6" s="1"/>
  <c r="M82" i="6" s="1"/>
  <c r="M85" i="6"/>
  <c r="M90" i="6"/>
  <c r="V15" i="6"/>
  <c r="V77" i="6"/>
  <c r="V77" i="2" s="1"/>
  <c r="V87" i="6"/>
  <c r="U86" i="6"/>
  <c r="U90" i="6"/>
  <c r="U81" i="6"/>
  <c r="U79" i="6" s="1"/>
  <c r="U82" i="6" s="1"/>
  <c r="W16" i="6"/>
  <c r="W16" i="2" s="1"/>
  <c r="W86" i="2" s="1"/>
  <c r="AD16" i="6"/>
  <c r="J87" i="2"/>
  <c r="X87" i="2"/>
  <c r="S88" i="2"/>
  <c r="O89" i="2"/>
  <c r="AA87" i="2"/>
  <c r="AB87" i="2"/>
  <c r="O84" i="14"/>
  <c r="O90" i="14"/>
  <c r="O81" i="14"/>
  <c r="O79" i="14" s="1"/>
  <c r="O82" i="14" s="1"/>
  <c r="P85" i="14"/>
  <c r="Z85" i="14"/>
  <c r="Z16" i="2"/>
  <c r="P86" i="14"/>
  <c r="O87" i="2"/>
  <c r="P84" i="14"/>
  <c r="AH16" i="14"/>
  <c r="P88" i="14"/>
  <c r="P49" i="2"/>
  <c r="P89" i="2" s="1"/>
  <c r="Z84" i="14"/>
  <c r="Z81" i="14"/>
  <c r="Z79" i="14" s="1"/>
  <c r="Z82" i="14" s="1"/>
  <c r="AH24" i="6"/>
  <c r="AH86" i="6" s="1"/>
  <c r="AD16" i="2"/>
  <c r="W75" i="6"/>
  <c r="V84" i="6"/>
  <c r="V90" i="6" s="1"/>
  <c r="V91" i="6" s="1"/>
  <c r="P81" i="6"/>
  <c r="P79" i="6" s="1"/>
  <c r="P82" i="6" s="1"/>
  <c r="P84" i="6"/>
  <c r="P90" i="6" s="1"/>
  <c r="P91" i="6" s="1"/>
  <c r="AA14" i="6"/>
  <c r="AA81" i="6" s="1"/>
  <c r="AH60" i="6"/>
  <c r="AD86" i="6"/>
  <c r="AD24" i="2"/>
  <c r="AD87" i="2" s="1"/>
  <c r="AC86" i="6"/>
  <c r="W15" i="6"/>
  <c r="AD15" i="6"/>
  <c r="V18" i="6"/>
  <c r="V18" i="2" s="1"/>
  <c r="S19" i="6"/>
  <c r="AI16" i="6"/>
  <c r="AD77" i="6"/>
  <c r="AD77" i="2" s="1"/>
  <c r="W77" i="6"/>
  <c r="AI77" i="6"/>
  <c r="S74" i="6"/>
  <c r="Q14" i="6"/>
  <c r="Q81" i="6" s="1"/>
  <c r="AI60" i="6"/>
  <c r="Z81" i="6"/>
  <c r="Z79" i="6" s="1"/>
  <c r="V86" i="6"/>
  <c r="Y87" i="2"/>
  <c r="K87" i="2"/>
  <c r="L87" i="2"/>
  <c r="AC87" i="2"/>
  <c r="Z86" i="2"/>
  <c r="R88" i="14"/>
  <c r="R49" i="2"/>
  <c r="AA84" i="14"/>
  <c r="AA81" i="14"/>
  <c r="AA79" i="14" s="1"/>
  <c r="AA82" i="14" s="1"/>
  <c r="R85" i="14"/>
  <c r="AH19" i="14"/>
  <c r="P81" i="14"/>
  <c r="P79" i="14" s="1"/>
  <c r="P82" i="14" s="1"/>
  <c r="AB84" i="14"/>
  <c r="AB81" i="14"/>
  <c r="AB79" i="14" s="1"/>
  <c r="AB82" i="14" s="1"/>
  <c r="Q85" i="14"/>
  <c r="R86" i="14"/>
  <c r="R48" i="2"/>
  <c r="Q86" i="14"/>
  <c r="Q48" i="2"/>
  <c r="AH48" i="14"/>
  <c r="AH86" i="14" s="1"/>
  <c r="AA85" i="14"/>
  <c r="AA16" i="2"/>
  <c r="AA86" i="2" s="1"/>
  <c r="AH15" i="14"/>
  <c r="Q88" i="14"/>
  <c r="Q49" i="2"/>
  <c r="AB85" i="14"/>
  <c r="AB16" i="2"/>
  <c r="AB86" i="2" s="1"/>
  <c r="AH49" i="14"/>
  <c r="AH88" i="14" s="1"/>
  <c r="W77" i="2"/>
  <c r="W87" i="6"/>
  <c r="AD87" i="6"/>
  <c r="AD75" i="6"/>
  <c r="AI75" i="6"/>
  <c r="R14" i="6"/>
  <c r="R81" i="6" s="1"/>
  <c r="V19" i="6"/>
  <c r="V19" i="2" s="1"/>
  <c r="AH15" i="6"/>
  <c r="AH77" i="6"/>
  <c r="AH87" i="6"/>
  <c r="S85" i="6"/>
  <c r="V88" i="2"/>
  <c r="AH24" i="2"/>
  <c r="AH87" i="2" s="1"/>
  <c r="AD18" i="6"/>
  <c r="AD18" i="2" s="1"/>
  <c r="W18" i="6"/>
  <c r="W18" i="2" s="1"/>
  <c r="AB14" i="6"/>
  <c r="AB84" i="6" s="1"/>
  <c r="AB90" i="6" s="1"/>
  <c r="V74" i="6"/>
  <c r="AI15" i="6"/>
  <c r="R89" i="2"/>
  <c r="W88" i="2"/>
  <c r="AH75" i="2"/>
  <c r="Q89" i="2"/>
  <c r="AD88" i="2"/>
  <c r="AH77" i="2"/>
  <c r="R84" i="14"/>
  <c r="R81" i="14"/>
  <c r="R79" i="14" s="1"/>
  <c r="R82" i="14" s="1"/>
  <c r="Q81" i="14"/>
  <c r="Q79" i="14" s="1"/>
  <c r="Q82" i="14" s="1"/>
  <c r="Q84" i="14"/>
  <c r="AH14" i="14"/>
  <c r="AH84" i="14" s="1"/>
  <c r="AH49" i="2"/>
  <c r="AH89" i="2" s="1"/>
  <c r="AH75" i="6"/>
  <c r="AD19" i="6"/>
  <c r="AD19" i="2" s="1"/>
  <c r="W19" i="6"/>
  <c r="AC14" i="6"/>
  <c r="AC84" i="6" s="1"/>
  <c r="AC90" i="6" s="1"/>
  <c r="V81" i="6"/>
  <c r="V79" i="6" s="1"/>
  <c r="V82" i="6" s="1"/>
  <c r="AB81" i="6"/>
  <c r="AB79" i="6" s="1"/>
  <c r="AB82" i="6" s="1"/>
  <c r="AD74" i="6"/>
  <c r="W74" i="6"/>
  <c r="AI19" i="6"/>
  <c r="AH18" i="6"/>
  <c r="AI18" i="6"/>
  <c r="J92" i="6"/>
  <c r="J93" i="6" s="1"/>
  <c r="AH19" i="6"/>
  <c r="AH74" i="6"/>
  <c r="AI74" i="6"/>
  <c r="AD85" i="6"/>
  <c r="AD14" i="6"/>
  <c r="AD81" i="6" s="1"/>
  <c r="AD79" i="6" s="1"/>
  <c r="AD82" i="6" s="1"/>
  <c r="AD86" i="2"/>
  <c r="AH14" i="6"/>
  <c r="AH81" i="6" s="1"/>
  <c r="AI14" i="6"/>
  <c r="AI81" i="6" s="1"/>
  <c r="AJ81" i="6" s="1"/>
  <c r="AH84" i="6"/>
  <c r="AH90" i="6" s="1"/>
  <c r="AH91" i="6" s="1"/>
  <c r="T52" i="13"/>
  <c r="U15" i="5" s="1"/>
  <c r="L52" i="13"/>
  <c r="M15" i="5"/>
  <c r="Q52" i="13"/>
  <c r="R15" i="5" s="1"/>
  <c r="R52" i="13"/>
  <c r="S15" i="5" s="1"/>
  <c r="U51" i="13"/>
  <c r="V14" i="5" s="1"/>
  <c r="U16" i="2"/>
  <c r="U86" i="2" s="1"/>
  <c r="P52" i="13"/>
  <c r="Q15" i="5" s="1"/>
  <c r="O51" i="13"/>
  <c r="P14" i="5" s="1"/>
  <c r="U52" i="13"/>
  <c r="V15" i="5" s="1"/>
  <c r="R51" i="13"/>
  <c r="P51" i="13"/>
  <c r="Q14" i="5" s="1"/>
  <c r="S52" i="13"/>
  <c r="T15" i="5" s="1"/>
  <c r="M51" i="13"/>
  <c r="K52" i="13"/>
  <c r="M52" i="13"/>
  <c r="N15" i="5"/>
  <c r="N51" i="13"/>
  <c r="O14" i="5" s="1"/>
  <c r="L51" i="13"/>
  <c r="M14" i="5" s="1"/>
  <c r="O52" i="13"/>
  <c r="P15" i="5" s="1"/>
  <c r="S51" i="13"/>
  <c r="T14" i="5" s="1"/>
  <c r="T51" i="13"/>
  <c r="Q51" i="13"/>
  <c r="R14" i="5" s="1"/>
  <c r="N52" i="13"/>
  <c r="O15" i="5"/>
  <c r="U14" i="5"/>
  <c r="N14" i="5"/>
  <c r="N84" i="5" s="1"/>
  <c r="L15" i="5"/>
  <c r="L84" i="5" s="1"/>
  <c r="S14" i="5"/>
  <c r="Y16" i="2"/>
  <c r="Y86" i="2" s="1"/>
  <c r="Y85" i="5"/>
  <c r="Q36" i="2"/>
  <c r="P36" i="2"/>
  <c r="Y36" i="2"/>
  <c r="X36" i="2"/>
  <c r="O36" i="2"/>
  <c r="Q32" i="2"/>
  <c r="P32" i="2"/>
  <c r="W32" i="2"/>
  <c r="V32" i="2"/>
  <c r="O19" i="2"/>
  <c r="R32" i="2"/>
  <c r="S32" i="2"/>
  <c r="T36" i="2"/>
  <c r="U36" i="2"/>
  <c r="X28" i="2"/>
  <c r="Y28" i="2"/>
  <c r="O32" i="2"/>
  <c r="S19" i="2"/>
  <c r="W28" i="2"/>
  <c r="R36" i="2"/>
  <c r="S36" i="2"/>
  <c r="W85" i="5"/>
  <c r="W36" i="2"/>
  <c r="Y84" i="5"/>
  <c r="T32" i="2"/>
  <c r="U32" i="2"/>
  <c r="Y32" i="2"/>
  <c r="X32" i="2"/>
  <c r="X84" i="5"/>
  <c r="N36" i="2"/>
  <c r="AH36" i="2"/>
  <c r="AH36" i="5"/>
  <c r="X85" i="5"/>
  <c r="N32" i="2"/>
  <c r="AH32" i="2"/>
  <c r="AH32" i="5"/>
  <c r="N19" i="2"/>
  <c r="AH19" i="5"/>
  <c r="W84" i="5"/>
  <c r="AH28" i="2"/>
  <c r="I74" i="13"/>
  <c r="AH29" i="2"/>
  <c r="AH88" i="2"/>
  <c r="L88" i="2"/>
  <c r="Q15" i="9" l="1"/>
  <c r="Q84" i="9" s="1"/>
  <c r="P84" i="9"/>
  <c r="S81" i="6"/>
  <c r="S79" i="6" s="1"/>
  <c r="S82" i="6" s="1"/>
  <c r="AB15" i="19"/>
  <c r="AC15" i="19" s="1"/>
  <c r="AD15" i="19" s="1"/>
  <c r="AE15" i="19" s="1"/>
  <c r="AF15" i="19" s="1"/>
  <c r="AG15" i="19" s="1"/>
  <c r="J21" i="19"/>
  <c r="AB21" i="19" s="1"/>
  <c r="AC21" i="19" s="1"/>
  <c r="AD21" i="19" s="1"/>
  <c r="AE21" i="19" s="1"/>
  <c r="AF21" i="19" s="1"/>
  <c r="AG21" i="19" s="1"/>
  <c r="AC81" i="6"/>
  <c r="AC79" i="6" s="1"/>
  <c r="AC82" i="6" s="1"/>
  <c r="U24" i="2"/>
  <c r="U87" i="2" s="1"/>
  <c r="T18" i="2"/>
  <c r="L84" i="11"/>
  <c r="W55" i="7"/>
  <c r="W58" i="7" s="1"/>
  <c r="Y61" i="7"/>
  <c r="Y64" i="7" s="1"/>
  <c r="M43" i="7"/>
  <c r="M46" i="7" s="1"/>
  <c r="K217" i="7"/>
  <c r="K221" i="7" s="1"/>
  <c r="Y145" i="7"/>
  <c r="Y148" i="7" s="1"/>
  <c r="Q296" i="7"/>
  <c r="Q299" i="7" s="1"/>
  <c r="M339" i="7"/>
  <c r="Q339" i="7"/>
  <c r="AD339" i="7"/>
  <c r="I23" i="7"/>
  <c r="AE38" i="7"/>
  <c r="AE129" i="7"/>
  <c r="U260" i="7"/>
  <c r="U263" i="7" s="1"/>
  <c r="AE334" i="7"/>
  <c r="R7" i="17"/>
  <c r="I91" i="7"/>
  <c r="I94" i="7" s="1"/>
  <c r="W145" i="7"/>
  <c r="W148" i="7" s="1"/>
  <c r="Y205" i="7"/>
  <c r="Y208" i="7" s="1"/>
  <c r="AC187" i="7"/>
  <c r="AC190" i="7" s="1"/>
  <c r="Y49" i="7"/>
  <c r="Y52" i="7" s="1"/>
  <c r="S187" i="7"/>
  <c r="S190" i="7" s="1"/>
  <c r="J85" i="6"/>
  <c r="Q284" i="7"/>
  <c r="Q287" i="7" s="1"/>
  <c r="W284" i="7"/>
  <c r="W287" i="7" s="1"/>
  <c r="O109" i="7"/>
  <c r="S193" i="7"/>
  <c r="S196" i="7" s="1"/>
  <c r="Q79" i="7"/>
  <c r="Q82" i="7" s="1"/>
  <c r="Q73" i="7"/>
  <c r="Q76" i="7" s="1"/>
  <c r="U175" i="7"/>
  <c r="U178" i="7" s="1"/>
  <c r="AC43" i="7"/>
  <c r="AC46" i="7" s="1"/>
  <c r="S31" i="7"/>
  <c r="S34" i="7" s="1"/>
  <c r="K55" i="7"/>
  <c r="K58" i="7" s="1"/>
  <c r="O314" i="7"/>
  <c r="O317" i="7" s="1"/>
  <c r="O272" i="7"/>
  <c r="O275" i="7" s="1"/>
  <c r="M254" i="7"/>
  <c r="M257" i="7" s="1"/>
  <c r="I284" i="7"/>
  <c r="I287" i="7" s="1"/>
  <c r="AD115" i="7"/>
  <c r="AD118" i="7" s="1"/>
  <c r="Y79" i="7"/>
  <c r="Y82" i="7" s="1"/>
  <c r="U43" i="7"/>
  <c r="U46" i="7" s="1"/>
  <c r="S320" i="7"/>
  <c r="S323" i="7" s="1"/>
  <c r="AA139" i="7"/>
  <c r="AA142" i="7" s="1"/>
  <c r="U157" i="7"/>
  <c r="U160" i="7" s="1"/>
  <c r="O181" i="7"/>
  <c r="O184" i="7" s="1"/>
  <c r="AC278" i="7"/>
  <c r="AC281" i="7" s="1"/>
  <c r="U97" i="7"/>
  <c r="U100" i="7" s="1"/>
  <c r="AA121" i="7"/>
  <c r="AA124" i="7" s="1"/>
  <c r="Q25" i="7"/>
  <c r="Q28" i="7" s="1"/>
  <c r="I97" i="7"/>
  <c r="I100" i="7" s="1"/>
  <c r="Y320" i="7"/>
  <c r="Y323" i="7" s="1"/>
  <c r="AD55" i="7"/>
  <c r="AD58" i="7" s="1"/>
  <c r="U55" i="7"/>
  <c r="U58" i="7" s="1"/>
  <c r="AA157" i="7"/>
  <c r="AA160" i="7" s="1"/>
  <c r="Y290" i="7"/>
  <c r="Y293" i="7" s="1"/>
  <c r="K302" i="7"/>
  <c r="K305" i="7" s="1"/>
  <c r="M308" i="7"/>
  <c r="M311" i="7" s="1"/>
  <c r="AD254" i="7"/>
  <c r="AD257" i="7" s="1"/>
  <c r="S103" i="7"/>
  <c r="S106" i="7" s="1"/>
  <c r="AC157" i="7"/>
  <c r="AC160" i="7" s="1"/>
  <c r="AA145" i="7"/>
  <c r="AA148" i="7" s="1"/>
  <c r="K49" i="7"/>
  <c r="K52" i="7" s="1"/>
  <c r="I49" i="7"/>
  <c r="I52" i="7" s="1"/>
  <c r="O61" i="7"/>
  <c r="O64" i="7" s="1"/>
  <c r="I145" i="7"/>
  <c r="I148" i="7" s="1"/>
  <c r="K133" i="7"/>
  <c r="K136" i="7" s="1"/>
  <c r="U37" i="7"/>
  <c r="U40" i="7" s="1"/>
  <c r="U41" i="7" s="1"/>
  <c r="I320" i="7"/>
  <c r="W278" i="7"/>
  <c r="W281" i="7" s="1"/>
  <c r="O254" i="7"/>
  <c r="O257" i="7" s="1"/>
  <c r="W151" i="7"/>
  <c r="W154" i="7" s="1"/>
  <c r="W79" i="7"/>
  <c r="W82" i="7" s="1"/>
  <c r="S326" i="7"/>
  <c r="S329" i="7" s="1"/>
  <c r="AC320" i="7"/>
  <c r="AC323" i="7" s="1"/>
  <c r="AC181" i="7"/>
  <c r="AC184" i="7" s="1"/>
  <c r="I163" i="7"/>
  <c r="I166" i="7" s="1"/>
  <c r="U248" i="7"/>
  <c r="U251" i="7" s="1"/>
  <c r="O157" i="7"/>
  <c r="S175" i="7"/>
  <c r="S178" i="7" s="1"/>
  <c r="U163" i="7"/>
  <c r="U166" i="7" s="1"/>
  <c r="S314" i="7"/>
  <c r="S317" i="7" s="1"/>
  <c r="U73" i="7"/>
  <c r="U76" i="7" s="1"/>
  <c r="Y25" i="7"/>
  <c r="Y28" i="7" s="1"/>
  <c r="K157" i="7"/>
  <c r="K160" i="7" s="1"/>
  <c r="U224" i="7"/>
  <c r="U227" i="7" s="1"/>
  <c r="Q248" i="7"/>
  <c r="Q251" i="7" s="1"/>
  <c r="AA320" i="7"/>
  <c r="AA323" i="7" s="1"/>
  <c r="AD236" i="7"/>
  <c r="AD239" i="7" s="1"/>
  <c r="I242" i="7"/>
  <c r="I245" i="7" s="1"/>
  <c r="W272" i="7"/>
  <c r="W275" i="7" s="1"/>
  <c r="Q211" i="7"/>
  <c r="U115" i="7"/>
  <c r="U118" i="7" s="1"/>
  <c r="M91" i="7"/>
  <c r="M94" i="7" s="1"/>
  <c r="AC115" i="7"/>
  <c r="AC118" i="7" s="1"/>
  <c r="U169" i="7"/>
  <c r="U172" i="7" s="1"/>
  <c r="Q236" i="7"/>
  <c r="Q239" i="7" s="1"/>
  <c r="U85" i="7"/>
  <c r="U88" i="7" s="1"/>
  <c r="K61" i="7"/>
  <c r="K64" i="7" s="1"/>
  <c r="O91" i="7"/>
  <c r="O94" i="7" s="1"/>
  <c r="W73" i="7"/>
  <c r="W76" i="7" s="1"/>
  <c r="AA236" i="7"/>
  <c r="AA239" i="7" s="1"/>
  <c r="U121" i="7"/>
  <c r="U124" i="7" s="1"/>
  <c r="AD157" i="7"/>
  <c r="AD160" i="7" s="1"/>
  <c r="U31" i="7"/>
  <c r="U34" i="7" s="1"/>
  <c r="Q163" i="7"/>
  <c r="Q166" i="7" s="1"/>
  <c r="AC284" i="7"/>
  <c r="AC287" i="7" s="1"/>
  <c r="AA211" i="7"/>
  <c r="AA214" i="7" s="1"/>
  <c r="Y97" i="7"/>
  <c r="Y100" i="7" s="1"/>
  <c r="AC145" i="7"/>
  <c r="AC148" i="7" s="1"/>
  <c r="U290" i="7"/>
  <c r="U293" i="7" s="1"/>
  <c r="W157" i="7"/>
  <c r="W160" i="7" s="1"/>
  <c r="K236" i="7"/>
  <c r="K239" i="7" s="1"/>
  <c r="U103" i="7"/>
  <c r="U106" i="7" s="1"/>
  <c r="AD187" i="7"/>
  <c r="AD190" i="7" s="1"/>
  <c r="I169" i="7"/>
  <c r="I172" i="7" s="1"/>
  <c r="AC242" i="7"/>
  <c r="AC245" i="7" s="1"/>
  <c r="I43" i="7"/>
  <c r="I46" i="7" s="1"/>
  <c r="M193" i="7"/>
  <c r="M196" i="7" s="1"/>
  <c r="O151" i="7"/>
  <c r="O154" i="7" s="1"/>
  <c r="U242" i="7"/>
  <c r="U245" i="7" s="1"/>
  <c r="W254" i="7"/>
  <c r="W257" i="7" s="1"/>
  <c r="Y284" i="7"/>
  <c r="Y287" i="7" s="1"/>
  <c r="O248" i="7"/>
  <c r="O251" i="7" s="1"/>
  <c r="M211" i="7"/>
  <c r="M49" i="7"/>
  <c r="M52" i="7" s="1"/>
  <c r="L49" i="7"/>
  <c r="L52" i="7" s="1"/>
  <c r="O133" i="7"/>
  <c r="O136" i="7" s="1"/>
  <c r="S163" i="7"/>
  <c r="S166" i="7" s="1"/>
  <c r="O169" i="7"/>
  <c r="O172" i="7" s="1"/>
  <c r="K109" i="7"/>
  <c r="AD49" i="7"/>
  <c r="AD52" i="7" s="1"/>
  <c r="AE52" i="7" s="1"/>
  <c r="U296" i="7"/>
  <c r="U299" i="7" s="1"/>
  <c r="Q272" i="7"/>
  <c r="Q275" i="7" s="1"/>
  <c r="S181" i="7"/>
  <c r="S184" i="7" s="1"/>
  <c r="W67" i="7"/>
  <c r="W70" i="7" s="1"/>
  <c r="W290" i="7"/>
  <c r="W293" i="7" s="1"/>
  <c r="S133" i="7"/>
  <c r="S136" i="7" s="1"/>
  <c r="W91" i="7"/>
  <c r="W94" i="7" s="1"/>
  <c r="M55" i="7"/>
  <c r="M58" i="7" s="1"/>
  <c r="AD248" i="7"/>
  <c r="AD251" i="7" s="1"/>
  <c r="I109" i="7"/>
  <c r="I112" i="7" s="1"/>
  <c r="AD193" i="7"/>
  <c r="AD196" i="7" s="1"/>
  <c r="K187" i="7"/>
  <c r="K190" i="7" s="1"/>
  <c r="O290" i="7"/>
  <c r="O293" i="7" s="1"/>
  <c r="Q187" i="7"/>
  <c r="Q190" i="7" s="1"/>
  <c r="AC121" i="7"/>
  <c r="AC124" i="7" s="1"/>
  <c r="AD163" i="7"/>
  <c r="AD166" i="7" s="1"/>
  <c r="Q175" i="7"/>
  <c r="Q178" i="7" s="1"/>
  <c r="Q115" i="7"/>
  <c r="Q118" i="7" s="1"/>
  <c r="Q127" i="7"/>
  <c r="Q130" i="7" s="1"/>
  <c r="M163" i="7"/>
  <c r="M166" i="7" s="1"/>
  <c r="Y248" i="7"/>
  <c r="Y251" i="7" s="1"/>
  <c r="Q37" i="7"/>
  <c r="Q40" i="7" s="1"/>
  <c r="Q41" i="7" s="1"/>
  <c r="AD266" i="7"/>
  <c r="AD269" i="7" s="1"/>
  <c r="U205" i="7"/>
  <c r="U208" i="7" s="1"/>
  <c r="U139" i="7"/>
  <c r="U142" i="7" s="1"/>
  <c r="I326" i="7"/>
  <c r="I329" i="7" s="1"/>
  <c r="AC25" i="7"/>
  <c r="AC28" i="7" s="1"/>
  <c r="I205" i="7"/>
  <c r="I208" i="7" s="1"/>
  <c r="Y109" i="7"/>
  <c r="Y112" i="7" s="1"/>
  <c r="M139" i="7"/>
  <c r="M142" i="7" s="1"/>
  <c r="W205" i="7"/>
  <c r="W208" i="7" s="1"/>
  <c r="M199" i="7"/>
  <c r="M202" i="7" s="1"/>
  <c r="K103" i="7"/>
  <c r="K106" i="7" s="1"/>
  <c r="K308" i="7"/>
  <c r="K311" i="7" s="1"/>
  <c r="O266" i="7"/>
  <c r="O269" i="7" s="1"/>
  <c r="K242" i="7"/>
  <c r="K245" i="7" s="1"/>
  <c r="U187" i="7"/>
  <c r="U190" i="7" s="1"/>
  <c r="S157" i="7"/>
  <c r="S160" i="7" s="1"/>
  <c r="K115" i="7"/>
  <c r="K118" i="7" s="1"/>
  <c r="U61" i="7"/>
  <c r="U64" i="7" s="1"/>
  <c r="K73" i="7"/>
  <c r="K76" i="7" s="1"/>
  <c r="U326" i="7"/>
  <c r="U329" i="7" s="1"/>
  <c r="K175" i="7"/>
  <c r="K178" i="7" s="1"/>
  <c r="W61" i="7"/>
  <c r="W64" i="7" s="1"/>
  <c r="AD109" i="7"/>
  <c r="AD112" i="7" s="1"/>
  <c r="AA187" i="7"/>
  <c r="AA190" i="7" s="1"/>
  <c r="AC199" i="7"/>
  <c r="AC202" i="7" s="1"/>
  <c r="K266" i="7"/>
  <c r="K269" i="7" s="1"/>
  <c r="AC133" i="7"/>
  <c r="AC136" i="7" s="1"/>
  <c r="O199" i="7"/>
  <c r="O202" i="7" s="1"/>
  <c r="AD169" i="7"/>
  <c r="AD172" i="7" s="1"/>
  <c r="W187" i="7"/>
  <c r="W190" i="7" s="1"/>
  <c r="AC290" i="7"/>
  <c r="AC293" i="7" s="1"/>
  <c r="AA242" i="7"/>
  <c r="AA245" i="7" s="1"/>
  <c r="I181" i="7"/>
  <c r="I184" i="7" s="1"/>
  <c r="Q205" i="7"/>
  <c r="Q208" i="7" s="1"/>
  <c r="K254" i="7"/>
  <c r="K257" i="7" s="1"/>
  <c r="M79" i="7"/>
  <c r="M82" i="7" s="1"/>
  <c r="Y103" i="7"/>
  <c r="Y106" i="7" s="1"/>
  <c r="W97" i="7"/>
  <c r="W100" i="7" s="1"/>
  <c r="AA205" i="7"/>
  <c r="AA208" i="7" s="1"/>
  <c r="U49" i="7"/>
  <c r="U52" i="7" s="1"/>
  <c r="U109" i="7"/>
  <c r="U112" i="7" s="1"/>
  <c r="Y230" i="7"/>
  <c r="Y233" i="7" s="1"/>
  <c r="M278" i="7"/>
  <c r="M281" i="7" s="1"/>
  <c r="AC211" i="7"/>
  <c r="AC214" i="7" s="1"/>
  <c r="M67" i="7"/>
  <c r="M70" i="7" s="1"/>
  <c r="S79" i="7"/>
  <c r="S82" i="7" s="1"/>
  <c r="W236" i="7"/>
  <c r="W239" i="7" s="1"/>
  <c r="S25" i="7"/>
  <c r="S28" i="7" s="1"/>
  <c r="AA314" i="7"/>
  <c r="AA317" i="7" s="1"/>
  <c r="I133" i="7"/>
  <c r="I136" i="7" s="1"/>
  <c r="Y121" i="7"/>
  <c r="Y124" i="7" s="1"/>
  <c r="AD61" i="7"/>
  <c r="AD64" i="7" s="1"/>
  <c r="Y133" i="7"/>
  <c r="Y136" i="7" s="1"/>
  <c r="W43" i="7"/>
  <c r="W46" i="7" s="1"/>
  <c r="AA79" i="7"/>
  <c r="AA82" i="7" s="1"/>
  <c r="K31" i="7"/>
  <c r="K34" i="7" s="1"/>
  <c r="AC224" i="7"/>
  <c r="AC227" i="7" s="1"/>
  <c r="I61" i="7"/>
  <c r="I64" i="7" s="1"/>
  <c r="O67" i="7"/>
  <c r="O70" i="7" s="1"/>
  <c r="Y193" i="7"/>
  <c r="Y196" i="7" s="1"/>
  <c r="S224" i="7"/>
  <c r="S227" i="7" s="1"/>
  <c r="Y314" i="7"/>
  <c r="Y317" i="7" s="1"/>
  <c r="Q302" i="7"/>
  <c r="Q305" i="7" s="1"/>
  <c r="W139" i="7"/>
  <c r="W142" i="7" s="1"/>
  <c r="AA151" i="7"/>
  <c r="AA154" i="7" s="1"/>
  <c r="Y151" i="7"/>
  <c r="Y154" i="7" s="1"/>
  <c r="AD73" i="7"/>
  <c r="AD76" i="7" s="1"/>
  <c r="AC73" i="7"/>
  <c r="AC76" i="7" s="1"/>
  <c r="AA73" i="7"/>
  <c r="AA76" i="7" s="1"/>
  <c r="S109" i="7"/>
  <c r="S112" i="7" s="1"/>
  <c r="S278" i="7"/>
  <c r="S281" i="7" s="1"/>
  <c r="O302" i="7"/>
  <c r="O305" i="7" s="1"/>
  <c r="U302" i="7"/>
  <c r="U305" i="7" s="1"/>
  <c r="Y211" i="7"/>
  <c r="Y214" i="7" s="1"/>
  <c r="U79" i="7"/>
  <c r="U82" i="7" s="1"/>
  <c r="K320" i="7"/>
  <c r="AA175" i="7"/>
  <c r="AA178" i="7" s="1"/>
  <c r="W211" i="7"/>
  <c r="W214" i="7" s="1"/>
  <c r="O115" i="7"/>
  <c r="O118" i="7" s="1"/>
  <c r="U199" i="7"/>
  <c r="U202" i="7" s="1"/>
  <c r="K211" i="7"/>
  <c r="S115" i="7"/>
  <c r="S118" i="7" s="1"/>
  <c r="M169" i="7"/>
  <c r="M172" i="7" s="1"/>
  <c r="I151" i="7"/>
  <c r="I154" i="7" s="1"/>
  <c r="U151" i="7"/>
  <c r="U154" i="7" s="1"/>
  <c r="AD272" i="7"/>
  <c r="AD275" i="7" s="1"/>
  <c r="K97" i="7"/>
  <c r="K100" i="7" s="1"/>
  <c r="Y199" i="7"/>
  <c r="Y202" i="7" s="1"/>
  <c r="K205" i="7"/>
  <c r="K208" i="7" s="1"/>
  <c r="S236" i="7"/>
  <c r="S239" i="7" s="1"/>
  <c r="AA248" i="7"/>
  <c r="AA251" i="7" s="1"/>
  <c r="I260" i="7"/>
  <c r="I263" i="7" s="1"/>
  <c r="O456" i="7"/>
  <c r="M456" i="7"/>
  <c r="N84" i="6"/>
  <c r="N90" i="6" s="1"/>
  <c r="R74" i="2"/>
  <c r="L91" i="6"/>
  <c r="Y84" i="6"/>
  <c r="Y90" i="6" s="1"/>
  <c r="AA61" i="7"/>
  <c r="AA64" i="7" s="1"/>
  <c r="O296" i="7"/>
  <c r="O299" i="7" s="1"/>
  <c r="M320" i="7"/>
  <c r="W224" i="7"/>
  <c r="W227" i="7" s="1"/>
  <c r="M115" i="7"/>
  <c r="M118" i="7" s="1"/>
  <c r="S169" i="7"/>
  <c r="S172" i="7" s="1"/>
  <c r="AD103" i="7"/>
  <c r="AD106" i="7" s="1"/>
  <c r="I222" i="7"/>
  <c r="AC326" i="7"/>
  <c r="L67" i="2"/>
  <c r="AH16" i="6"/>
  <c r="AH85" i="6" s="1"/>
  <c r="W86" i="6"/>
  <c r="Q86" i="5"/>
  <c r="W296" i="7"/>
  <c r="W299" i="7" s="1"/>
  <c r="W260" i="7"/>
  <c r="W263" i="7" s="1"/>
  <c r="U284" i="7"/>
  <c r="U287" i="7" s="1"/>
  <c r="W314" i="7"/>
  <c r="W317" i="7" s="1"/>
  <c r="AC314" i="7"/>
  <c r="AC317" i="7" s="1"/>
  <c r="O121" i="7"/>
  <c r="O124" i="7" s="1"/>
  <c r="U133" i="7"/>
  <c r="U136" i="7" s="1"/>
  <c r="AC296" i="7"/>
  <c r="AC299" i="7" s="1"/>
  <c r="AC88" i="6"/>
  <c r="AC49" i="2"/>
  <c r="AC89" i="2" s="1"/>
  <c r="W86" i="5"/>
  <c r="W90" i="5" s="1"/>
  <c r="W52" i="2"/>
  <c r="Q84" i="5"/>
  <c r="AD84" i="6"/>
  <c r="AD90" i="6" s="1"/>
  <c r="AD91" i="6" s="1"/>
  <c r="N90" i="14"/>
  <c r="AD242" i="7"/>
  <c r="AD245" i="7" s="1"/>
  <c r="W121" i="7"/>
  <c r="W124" i="7" s="1"/>
  <c r="U67" i="7"/>
  <c r="U70" i="7" s="1"/>
  <c r="AC139" i="7"/>
  <c r="AC142" i="7" s="1"/>
  <c r="Y236" i="7"/>
  <c r="Y239" i="7" s="1"/>
  <c r="I67" i="7"/>
  <c r="I70" i="7" s="1"/>
  <c r="U211" i="7"/>
  <c r="U214" i="7" s="1"/>
  <c r="S230" i="7"/>
  <c r="S233" i="7" s="1"/>
  <c r="M36" i="2"/>
  <c r="X41" i="2"/>
  <c r="G402" i="7"/>
  <c r="AW102" i="26"/>
  <c r="AW141" i="26"/>
  <c r="AW174" i="26"/>
  <c r="AW231" i="26"/>
  <c r="AJ283" i="26"/>
  <c r="AT252" i="26"/>
  <c r="AA48" i="4"/>
  <c r="AZ341" i="26"/>
  <c r="AZ332" i="26"/>
  <c r="AZ344" i="26" s="1"/>
  <c r="AS332" i="26"/>
  <c r="AZ283" i="26"/>
  <c r="AX335" i="26"/>
  <c r="AX340" i="26"/>
  <c r="BA340" i="26" s="1"/>
  <c r="M487" i="7"/>
  <c r="M488" i="7" s="1"/>
  <c r="M489" i="7" s="1"/>
  <c r="AE44" i="4"/>
  <c r="AE44" i="2" s="1"/>
  <c r="AX231" i="26"/>
  <c r="AX150" i="26"/>
  <c r="AL252" i="26"/>
  <c r="S48" i="4"/>
  <c r="AL273" i="26"/>
  <c r="AM280" i="26"/>
  <c r="AM321" i="26"/>
  <c r="AX321" i="26"/>
  <c r="AX310" i="26"/>
  <c r="AE90" i="5"/>
  <c r="Q88" i="11"/>
  <c r="O217" i="7"/>
  <c r="O221" i="7" s="1"/>
  <c r="S64" i="2"/>
  <c r="M24" i="2"/>
  <c r="M87" i="2" s="1"/>
  <c r="O52" i="2"/>
  <c r="M53" i="2"/>
  <c r="AA32" i="18"/>
  <c r="AL32" i="18" s="1"/>
  <c r="X32" i="18"/>
  <c r="AF301" i="26"/>
  <c r="M74" i="4"/>
  <c r="M74" i="2" s="1"/>
  <c r="AG280" i="26"/>
  <c r="AG283" i="26" s="1"/>
  <c r="AG321" i="26"/>
  <c r="T81" i="11"/>
  <c r="T79" i="11" s="1"/>
  <c r="T82" i="11" s="1"/>
  <c r="G384" i="7"/>
  <c r="G449" i="7"/>
  <c r="AG15" i="4"/>
  <c r="AG15" i="2" s="1"/>
  <c r="AZ42" i="26"/>
  <c r="AZ54" i="26" s="1"/>
  <c r="AK225" i="26"/>
  <c r="AK230" i="26"/>
  <c r="AM233" i="26"/>
  <c r="AM349" i="26"/>
  <c r="AM237" i="26"/>
  <c r="AM272" i="26"/>
  <c r="AT272" i="26"/>
  <c r="AT346" i="26"/>
  <c r="AT255" i="26"/>
  <c r="AT258" i="26" s="1"/>
  <c r="AS275" i="26"/>
  <c r="AS349" i="26"/>
  <c r="M56" i="2"/>
  <c r="L25" i="2"/>
  <c r="M32" i="2"/>
  <c r="T67" i="2"/>
  <c r="L49" i="2"/>
  <c r="L89" i="2" s="1"/>
  <c r="U67" i="2"/>
  <c r="Q234" i="26"/>
  <c r="AD264" i="26"/>
  <c r="AD273" i="26"/>
  <c r="AH67" i="11"/>
  <c r="AX54" i="26"/>
  <c r="F10" i="15"/>
  <c r="R344" i="26"/>
  <c r="U25" i="2"/>
  <c r="V37" i="2"/>
  <c r="R9" i="17"/>
  <c r="I83" i="13"/>
  <c r="O33" i="5"/>
  <c r="O33" i="2" s="1"/>
  <c r="AQ273" i="26"/>
  <c r="U44" i="4"/>
  <c r="U44" i="2" s="1"/>
  <c r="AM319" i="26"/>
  <c r="T75" i="4"/>
  <c r="T75" i="2" s="1"/>
  <c r="AU39" i="26"/>
  <c r="AU42" i="26" s="1"/>
  <c r="AU50" i="26"/>
  <c r="O64" i="10"/>
  <c r="O86" i="10" s="1"/>
  <c r="X19" i="4"/>
  <c r="X19" i="2" s="1"/>
  <c r="AC264" i="26"/>
  <c r="AC273" i="26"/>
  <c r="J19" i="4"/>
  <c r="J19" i="2" s="1"/>
  <c r="AH19" i="2" s="1"/>
  <c r="AI33" i="26"/>
  <c r="P14" i="4" s="1"/>
  <c r="AI346" i="26"/>
  <c r="AV39" i="26"/>
  <c r="AV42" i="26" s="1"/>
  <c r="AV50" i="26"/>
  <c r="AF346" i="26"/>
  <c r="K83" i="13"/>
  <c r="AE51" i="26"/>
  <c r="AE264" i="26"/>
  <c r="AE276" i="26" s="1"/>
  <c r="L19" i="4"/>
  <c r="L19" i="2" s="1"/>
  <c r="AD240" i="26"/>
  <c r="AD276" i="26" s="1"/>
  <c r="K19" i="4"/>
  <c r="K19" i="2" s="1"/>
  <c r="AY258" i="26"/>
  <c r="AY276" i="26" s="1"/>
  <c r="AF19" i="4"/>
  <c r="AF19" i="2" s="1"/>
  <c r="H33" i="26"/>
  <c r="H36" i="26" s="1"/>
  <c r="J33" i="26"/>
  <c r="J36" i="26" s="1"/>
  <c r="AN33" i="26"/>
  <c r="P33" i="26"/>
  <c r="P36" i="26" s="1"/>
  <c r="N33" i="26"/>
  <c r="N36" i="26" s="1"/>
  <c r="K33" i="26"/>
  <c r="K36" i="26" s="1"/>
  <c r="AD33" i="26"/>
  <c r="M33" i="26"/>
  <c r="M36" i="26" s="1"/>
  <c r="I33" i="26"/>
  <c r="I36" i="26" s="1"/>
  <c r="AG33" i="26"/>
  <c r="AH33" i="26"/>
  <c r="O14" i="4" s="1"/>
  <c r="AC33" i="26"/>
  <c r="L33" i="26"/>
  <c r="L36" i="26" s="1"/>
  <c r="AW33" i="26"/>
  <c r="AP33" i="26"/>
  <c r="AR349" i="26"/>
  <c r="M63" i="19"/>
  <c r="AK276" i="26"/>
  <c r="AI60" i="26"/>
  <c r="P16" i="4"/>
  <c r="AS33" i="26"/>
  <c r="H325" i="26"/>
  <c r="T81" i="10"/>
  <c r="T79" i="10" s="1"/>
  <c r="T82" i="10" s="1"/>
  <c r="I27" i="13"/>
  <c r="AW144" i="26"/>
  <c r="AQ60" i="26"/>
  <c r="X16" i="4"/>
  <c r="X16" i="2" s="1"/>
  <c r="X86" i="2" s="1"/>
  <c r="Q84" i="8"/>
  <c r="N16" i="10"/>
  <c r="N16" i="2" s="1"/>
  <c r="N86" i="2" s="1"/>
  <c r="AX48" i="26"/>
  <c r="AE15" i="4"/>
  <c r="AE15" i="2" s="1"/>
  <c r="AS272" i="26"/>
  <c r="AS255" i="26"/>
  <c r="AS258" i="26" s="1"/>
  <c r="AW298" i="26"/>
  <c r="AD74" i="4" s="1"/>
  <c r="AD74" i="2" s="1"/>
  <c r="AW321" i="26"/>
  <c r="J325" i="26"/>
  <c r="R325" i="26"/>
  <c r="J344" i="26"/>
  <c r="AU310" i="26"/>
  <c r="AL349" i="26"/>
  <c r="P325" i="26"/>
  <c r="AR165" i="26"/>
  <c r="AR168" i="26" s="1"/>
  <c r="BA168" i="26" s="1"/>
  <c r="AP39" i="26"/>
  <c r="AO87" i="26"/>
  <c r="AO90" i="26" s="1"/>
  <c r="AF39" i="26"/>
  <c r="AF42" i="26" s="1"/>
  <c r="H87" i="26"/>
  <c r="H90" i="26" s="1"/>
  <c r="L117" i="26"/>
  <c r="L120" i="26" s="1"/>
  <c r="N93" i="26"/>
  <c r="N96" i="26" s="1"/>
  <c r="P39" i="26"/>
  <c r="P42" i="26" s="1"/>
  <c r="N69" i="26"/>
  <c r="N72" i="26" s="1"/>
  <c r="T72" i="26" s="1"/>
  <c r="AS147" i="26"/>
  <c r="AS150" i="26" s="1"/>
  <c r="O69" i="26"/>
  <c r="O72" i="26" s="1"/>
  <c r="R39" i="26"/>
  <c r="R42" i="26" s="1"/>
  <c r="AU99" i="26"/>
  <c r="AU102" i="26" s="1"/>
  <c r="N45" i="26"/>
  <c r="N48" i="26" s="1"/>
  <c r="J39" i="26"/>
  <c r="J42" i="26" s="1"/>
  <c r="AU93" i="26"/>
  <c r="AU96" i="26" s="1"/>
  <c r="AU144" i="26" s="1"/>
  <c r="AP87" i="26"/>
  <c r="AP90" i="26" s="1"/>
  <c r="AX63" i="26"/>
  <c r="AX66" i="26" s="1"/>
  <c r="AZ123" i="26"/>
  <c r="AZ126" i="26" s="1"/>
  <c r="AO57" i="26"/>
  <c r="AI39" i="26"/>
  <c r="AI42" i="26" s="1"/>
  <c r="AR75" i="26"/>
  <c r="AR78" i="26" s="1"/>
  <c r="O135" i="26"/>
  <c r="O138" i="26" s="1"/>
  <c r="M45" i="26"/>
  <c r="M48" i="26" s="1"/>
  <c r="AH87" i="26"/>
  <c r="AH90" i="26" s="1"/>
  <c r="AR207" i="26"/>
  <c r="AR210" i="26" s="1"/>
  <c r="AG129" i="26"/>
  <c r="AF93" i="26"/>
  <c r="AF96" i="26" s="1"/>
  <c r="AF147" i="26"/>
  <c r="AF150" i="26" s="1"/>
  <c r="Q123" i="26"/>
  <c r="Q126" i="26" s="1"/>
  <c r="AT75" i="26"/>
  <c r="AT78" i="26" s="1"/>
  <c r="AJ117" i="26"/>
  <c r="AJ120" i="26" s="1"/>
  <c r="AE329" i="26"/>
  <c r="AE332" i="26" s="1"/>
  <c r="AL329" i="26"/>
  <c r="AF335" i="26"/>
  <c r="AF338" i="26" s="1"/>
  <c r="L316" i="26"/>
  <c r="L319" i="26" s="1"/>
  <c r="K329" i="26"/>
  <c r="K332" i="26" s="1"/>
  <c r="AT335" i="26"/>
  <c r="J329" i="26"/>
  <c r="J332" i="26" s="1"/>
  <c r="AM304" i="26"/>
  <c r="AM307" i="26" s="1"/>
  <c r="AU292" i="26"/>
  <c r="H316" i="26"/>
  <c r="H319" i="26" s="1"/>
  <c r="AP298" i="26"/>
  <c r="AP301" i="26" s="1"/>
  <c r="AW286" i="26"/>
  <c r="R316" i="26"/>
  <c r="R319" i="26" s="1"/>
  <c r="AC304" i="26"/>
  <c r="AJ335" i="26"/>
  <c r="AJ338" i="26" s="1"/>
  <c r="AI335" i="26"/>
  <c r="AI338" i="26" s="1"/>
  <c r="J304" i="26"/>
  <c r="J307" i="26" s="1"/>
  <c r="AI292" i="26"/>
  <c r="I280" i="26"/>
  <c r="I283" i="26" s="1"/>
  <c r="AX329" i="26"/>
  <c r="AH292" i="26"/>
  <c r="O74" i="4" s="1"/>
  <c r="O74" i="2" s="1"/>
  <c r="H280" i="26"/>
  <c r="AF261" i="26"/>
  <c r="AW316" i="26"/>
  <c r="AZ267" i="26"/>
  <c r="AZ270" i="26" s="1"/>
  <c r="AP304" i="26"/>
  <c r="AP307" i="26" s="1"/>
  <c r="AP325" i="26" s="1"/>
  <c r="AK286" i="26"/>
  <c r="AF329" i="26"/>
  <c r="AS335" i="26"/>
  <c r="AS338" i="26" s="1"/>
  <c r="AE267" i="26"/>
  <c r="AE270" i="26" s="1"/>
  <c r="AZ255" i="26"/>
  <c r="R249" i="26"/>
  <c r="R252" i="26" s="1"/>
  <c r="AI237" i="26"/>
  <c r="AI225" i="26"/>
  <c r="AI228" i="26" s="1"/>
  <c r="S267" i="26"/>
  <c r="S270" i="26" s="1"/>
  <c r="AM57" i="26"/>
  <c r="K117" i="26"/>
  <c r="K120" i="26" s="1"/>
  <c r="AK75" i="26"/>
  <c r="AK78" i="26" s="1"/>
  <c r="I129" i="26"/>
  <c r="I132" i="26" s="1"/>
  <c r="O63" i="26"/>
  <c r="O66" i="26" s="1"/>
  <c r="N99" i="26"/>
  <c r="N102" i="26" s="1"/>
  <c r="AQ81" i="26"/>
  <c r="AQ84" i="26" s="1"/>
  <c r="AR81" i="26"/>
  <c r="AR84" i="26" s="1"/>
  <c r="AI99" i="26"/>
  <c r="AI102" i="26" s="1"/>
  <c r="AJ99" i="26"/>
  <c r="AJ102" i="26" s="1"/>
  <c r="AE153" i="26"/>
  <c r="AE156" i="26" s="1"/>
  <c r="AI129" i="26"/>
  <c r="AI132" i="26" s="1"/>
  <c r="O57" i="26"/>
  <c r="O60" i="26" s="1"/>
  <c r="AJ81" i="26"/>
  <c r="AJ84" i="26" s="1"/>
  <c r="AI123" i="26"/>
  <c r="N329" i="26"/>
  <c r="N332" i="26" s="1"/>
  <c r="AD329" i="26"/>
  <c r="O335" i="26"/>
  <c r="O338" i="26" s="1"/>
  <c r="T338" i="26" s="1"/>
  <c r="AU335" i="26"/>
  <c r="AZ316" i="26"/>
  <c r="AZ319" i="26" s="1"/>
  <c r="AL335" i="26"/>
  <c r="AL338" i="26" s="1"/>
  <c r="AF316" i="26"/>
  <c r="AF319" i="26" s="1"/>
  <c r="AE304" i="26"/>
  <c r="AE307" i="26" s="1"/>
  <c r="AM292" i="26"/>
  <c r="AM295" i="26" s="1"/>
  <c r="AQ335" i="26"/>
  <c r="AI310" i="26"/>
  <c r="AI313" i="26" s="1"/>
  <c r="AH298" i="26"/>
  <c r="AH301" i="26" s="1"/>
  <c r="AO286" i="26"/>
  <c r="L304" i="26"/>
  <c r="L307" i="26" s="1"/>
  <c r="AH329" i="26"/>
  <c r="H310" i="26"/>
  <c r="H313" i="26" s="1"/>
  <c r="AN298" i="26"/>
  <c r="AN301" i="26" s="1"/>
  <c r="AG329" i="26"/>
  <c r="AG332" i="26" s="1"/>
  <c r="AF310" i="26"/>
  <c r="AF322" i="26" s="1"/>
  <c r="AU298" i="26"/>
  <c r="AU301" i="26" s="1"/>
  <c r="R292" i="26"/>
  <c r="R295" i="26" s="1"/>
  <c r="T295" i="26" s="1"/>
  <c r="O316" i="26"/>
  <c r="O319" i="26" s="1"/>
  <c r="AN292" i="26"/>
  <c r="AT267" i="26"/>
  <c r="AT273" i="26" s="1"/>
  <c r="P261" i="26"/>
  <c r="P264" i="26" s="1"/>
  <c r="N316" i="26"/>
  <c r="N319" i="26" s="1"/>
  <c r="AS267" i="26"/>
  <c r="AZ286" i="26"/>
  <c r="AR267" i="26"/>
  <c r="O304" i="26"/>
  <c r="O307" i="26" s="1"/>
  <c r="O286" i="26"/>
  <c r="O289" i="26" s="1"/>
  <c r="I304" i="26"/>
  <c r="I307" i="26" s="1"/>
  <c r="T307" i="26" s="1"/>
  <c r="AJ286" i="26"/>
  <c r="AJ289" i="26" s="1"/>
  <c r="AH316" i="26"/>
  <c r="J267" i="26"/>
  <c r="J270" i="26" s="1"/>
  <c r="AN255" i="26"/>
  <c r="J249" i="26"/>
  <c r="J252" i="26" s="1"/>
  <c r="R237" i="26"/>
  <c r="R240" i="26" s="1"/>
  <c r="R225" i="26"/>
  <c r="R228" i="26" s="1"/>
  <c r="R219" i="26"/>
  <c r="R222" i="26" s="1"/>
  <c r="M213" i="26"/>
  <c r="M216" i="26" s="1"/>
  <c r="AV292" i="26"/>
  <c r="R74" i="4"/>
  <c r="AG273" i="26"/>
  <c r="I325" i="26"/>
  <c r="O325" i="26"/>
  <c r="M144" i="26"/>
  <c r="T332" i="26"/>
  <c r="AP329" i="26"/>
  <c r="AY343" i="26"/>
  <c r="AY349" i="26"/>
  <c r="F416" i="26"/>
  <c r="O276" i="26"/>
  <c r="L15" i="4"/>
  <c r="H144" i="26"/>
  <c r="M19" i="4"/>
  <c r="M19" i="2" s="1"/>
  <c r="Q325" i="26"/>
  <c r="S276" i="26"/>
  <c r="AX346" i="26"/>
  <c r="AT45" i="26"/>
  <c r="H51" i="26"/>
  <c r="H54" i="26" s="1"/>
  <c r="AV298" i="26"/>
  <c r="AV301" i="26" s="1"/>
  <c r="AN349" i="26"/>
  <c r="AL274" i="26"/>
  <c r="AG349" i="26"/>
  <c r="AT349" i="26"/>
  <c r="AP348" i="26"/>
  <c r="AK321" i="26"/>
  <c r="R84" i="5"/>
  <c r="AC91" i="6"/>
  <c r="AB91" i="6"/>
  <c r="AH85" i="14"/>
  <c r="N91" i="6"/>
  <c r="M217" i="7"/>
  <c r="M221" i="7" s="1"/>
  <c r="S217" i="7"/>
  <c r="S221" i="7" s="1"/>
  <c r="U217" i="7"/>
  <c r="L64" i="8"/>
  <c r="L86" i="8" s="1"/>
  <c r="O64" i="8"/>
  <c r="O64" i="2" s="1"/>
  <c r="L61" i="11"/>
  <c r="R61" i="11"/>
  <c r="AL30" i="18"/>
  <c r="AL31" i="18"/>
  <c r="Q16" i="10"/>
  <c r="AB85" i="5"/>
  <c r="AB90" i="5" s="1"/>
  <c r="AD87" i="14"/>
  <c r="L83" i="13"/>
  <c r="P83" i="13" s="1"/>
  <c r="I26" i="13"/>
  <c r="U11" i="13"/>
  <c r="N59" i="13"/>
  <c r="T33" i="5"/>
  <c r="T33" i="2" s="1"/>
  <c r="Q33" i="5"/>
  <c r="Q33" i="2" s="1"/>
  <c r="AH141" i="26"/>
  <c r="T210" i="26"/>
  <c r="T168" i="26"/>
  <c r="T198" i="26"/>
  <c r="T204" i="26"/>
  <c r="T186" i="26"/>
  <c r="T240" i="26"/>
  <c r="AA74" i="4"/>
  <c r="AA74" i="2" s="1"/>
  <c r="AF33" i="26"/>
  <c r="AF36" i="26" s="1"/>
  <c r="AM33" i="26"/>
  <c r="AU33" i="26"/>
  <c r="AU36" i="26" s="1"/>
  <c r="AV33" i="26"/>
  <c r="AR39" i="26"/>
  <c r="AG45" i="26"/>
  <c r="AG48" i="26" s="1"/>
  <c r="AK45" i="26"/>
  <c r="AK48" i="26" s="1"/>
  <c r="AO45" i="26"/>
  <c r="I51" i="26"/>
  <c r="I54" i="26" s="1"/>
  <c r="J51" i="26"/>
  <c r="M51" i="26"/>
  <c r="M54" i="26" s="1"/>
  <c r="Q51" i="26"/>
  <c r="Q54" i="26" s="1"/>
  <c r="R51" i="26"/>
  <c r="N54" i="26"/>
  <c r="BA143" i="26"/>
  <c r="I141" i="26"/>
  <c r="Q141" i="26"/>
  <c r="Q144" i="26" s="1"/>
  <c r="P144" i="26"/>
  <c r="AJ153" i="26"/>
  <c r="AJ165" i="26"/>
  <c r="AJ168" i="26" s="1"/>
  <c r="AV316" i="26"/>
  <c r="N322" i="26"/>
  <c r="N325" i="26" s="1"/>
  <c r="F422" i="26"/>
  <c r="J422" i="26" s="1"/>
  <c r="W85" i="6"/>
  <c r="X90" i="5"/>
  <c r="W81" i="6"/>
  <c r="W79" i="6" s="1"/>
  <c r="U84" i="5"/>
  <c r="AH81" i="14"/>
  <c r="Y91" i="6"/>
  <c r="S84" i="5"/>
  <c r="U91" i="6"/>
  <c r="T91" i="6"/>
  <c r="Q84" i="6"/>
  <c r="Q90" i="6" s="1"/>
  <c r="Q91" i="6" s="1"/>
  <c r="O81" i="6"/>
  <c r="O79" i="6" s="1"/>
  <c r="O82" i="6" s="1"/>
  <c r="X81" i="6"/>
  <c r="X79" i="6" s="1"/>
  <c r="X82" i="6" s="1"/>
  <c r="Z91" i="6"/>
  <c r="Y90" i="5"/>
  <c r="R84" i="6"/>
  <c r="R90" i="6" s="1"/>
  <c r="R91" i="6" s="1"/>
  <c r="AG84" i="9"/>
  <c r="O18" i="7"/>
  <c r="Q18" i="7"/>
  <c r="I18" i="7"/>
  <c r="W127" i="7"/>
  <c r="W130" i="7"/>
  <c r="Q308" i="7"/>
  <c r="Q311" i="7" s="1"/>
  <c r="Y326" i="7"/>
  <c r="Y329" i="7" s="1"/>
  <c r="Y254" i="7"/>
  <c r="AD230" i="7"/>
  <c r="AD233" i="7" s="1"/>
  <c r="O224" i="7"/>
  <c r="O227" i="7" s="1"/>
  <c r="S248" i="7"/>
  <c r="S251" i="7" s="1"/>
  <c r="I272" i="7"/>
  <c r="S290" i="7"/>
  <c r="S293" i="7" s="1"/>
  <c r="U272" i="7"/>
  <c r="U275" i="7" s="1"/>
  <c r="S151" i="7"/>
  <c r="S154" i="7" s="1"/>
  <c r="W193" i="7"/>
  <c r="W196" i="7" s="1"/>
  <c r="K314" i="7"/>
  <c r="K317" i="7" s="1"/>
  <c r="K290" i="7"/>
  <c r="U320" i="7"/>
  <c r="U323" i="7" s="1"/>
  <c r="S302" i="7"/>
  <c r="S305" i="7" s="1"/>
  <c r="I224" i="7"/>
  <c r="Q242" i="7"/>
  <c r="Q245" i="7" s="1"/>
  <c r="O163" i="7"/>
  <c r="O166" i="7" s="1"/>
  <c r="Y175" i="7"/>
  <c r="Y178" i="7" s="1"/>
  <c r="U181" i="7"/>
  <c r="U184" i="7" s="1"/>
  <c r="Y266" i="7"/>
  <c r="Y269" i="7" s="1"/>
  <c r="AD199" i="7"/>
  <c r="AD202" i="7" s="1"/>
  <c r="I121" i="7"/>
  <c r="M25" i="7"/>
  <c r="Y139" i="7"/>
  <c r="Y142" i="7" s="1"/>
  <c r="AA49" i="7"/>
  <c r="AA52" i="7" s="1"/>
  <c r="W169" i="7"/>
  <c r="W172" i="7" s="1"/>
  <c r="AA91" i="7"/>
  <c r="AA94" i="7" s="1"/>
  <c r="AC302" i="7"/>
  <c r="AC305" i="7" s="1"/>
  <c r="AC67" i="7"/>
  <c r="AC70" i="7" s="1"/>
  <c r="S85" i="7"/>
  <c r="S88" i="7" s="1"/>
  <c r="K145" i="7"/>
  <c r="K43" i="7"/>
  <c r="I139" i="7"/>
  <c r="M121" i="7"/>
  <c r="M124" i="7" s="1"/>
  <c r="AD133" i="7"/>
  <c r="AD136" i="7" s="1"/>
  <c r="M296" i="7"/>
  <c r="M299" i="7" s="1"/>
  <c r="I314" i="7"/>
  <c r="S242" i="7"/>
  <c r="S245" i="7" s="1"/>
  <c r="Y115" i="7"/>
  <c r="Y118" i="7" s="1"/>
  <c r="U193" i="7"/>
  <c r="U196" i="7" s="1"/>
  <c r="Q224" i="7"/>
  <c r="Q227" i="7" s="1"/>
  <c r="S296" i="7"/>
  <c r="S299" i="7" s="1"/>
  <c r="W133" i="7"/>
  <c r="W136" i="7" s="1"/>
  <c r="S121" i="7"/>
  <c r="S124" i="7" s="1"/>
  <c r="I187" i="7"/>
  <c r="W31" i="7"/>
  <c r="W34" i="7" s="1"/>
  <c r="M133" i="7"/>
  <c r="Y43" i="7"/>
  <c r="Y46" i="7" s="1"/>
  <c r="AD37" i="7"/>
  <c r="AD40" i="7" s="1"/>
  <c r="AD41" i="7" s="1"/>
  <c r="O278" i="7"/>
  <c r="O281" i="7" s="1"/>
  <c r="AD205" i="7"/>
  <c r="AD208" i="7" s="1"/>
  <c r="Y163" i="7"/>
  <c r="Y166" i="7" s="1"/>
  <c r="AA97" i="7"/>
  <c r="AA100" i="7" s="1"/>
  <c r="K79" i="7"/>
  <c r="K82" i="7" s="1"/>
  <c r="M97" i="7"/>
  <c r="AD290" i="7"/>
  <c r="AD293" i="7" s="1"/>
  <c r="S266" i="7"/>
  <c r="S269" i="7" s="1"/>
  <c r="Q320" i="7"/>
  <c r="Q323" i="7" s="1"/>
  <c r="M302" i="7"/>
  <c r="M305" i="7" s="1"/>
  <c r="AA169" i="7"/>
  <c r="AA172" i="7" s="1"/>
  <c r="K181" i="7"/>
  <c r="Y157" i="7"/>
  <c r="Y160" i="7" s="1"/>
  <c r="AA181" i="7"/>
  <c r="AA184" i="7" s="1"/>
  <c r="AD31" i="7"/>
  <c r="AD34" i="7" s="1"/>
  <c r="O25" i="7"/>
  <c r="O28" i="7" s="1"/>
  <c r="AA115" i="7"/>
  <c r="AA118" i="7" s="1"/>
  <c r="S284" i="7"/>
  <c r="S287" i="7" s="1"/>
  <c r="AD302" i="7"/>
  <c r="AD305" i="7" s="1"/>
  <c r="M290" i="7"/>
  <c r="M293" i="7" s="1"/>
  <c r="M145" i="7"/>
  <c r="M148" i="7" s="1"/>
  <c r="K193" i="7"/>
  <c r="K196" i="7" s="1"/>
  <c r="K25" i="7"/>
  <c r="AD91" i="7"/>
  <c r="AD94" i="7" s="1"/>
  <c r="O211" i="7"/>
  <c r="I230" i="7"/>
  <c r="I296" i="7"/>
  <c r="W25" i="7"/>
  <c r="Y85" i="7"/>
  <c r="Y88" i="7" s="1"/>
  <c r="S67" i="7"/>
  <c r="S70" i="7" s="1"/>
  <c r="AC109" i="7"/>
  <c r="AC112" i="7" s="1"/>
  <c r="I236" i="7"/>
  <c r="S272" i="7"/>
  <c r="S275" i="7" s="1"/>
  <c r="I302" i="7"/>
  <c r="W248" i="7"/>
  <c r="W251" i="7" s="1"/>
  <c r="K278" i="7"/>
  <c r="W230" i="7"/>
  <c r="W233" i="7" s="1"/>
  <c r="I115" i="7"/>
  <c r="AD296" i="7"/>
  <c r="AD299" i="7" s="1"/>
  <c r="S139" i="7"/>
  <c r="S142" i="7" s="1"/>
  <c r="S91" i="7"/>
  <c r="S94" i="7" s="1"/>
  <c r="M205" i="7"/>
  <c r="I103" i="7"/>
  <c r="Y55" i="7"/>
  <c r="Y58" i="7" s="1"/>
  <c r="AD175" i="7"/>
  <c r="AD178" i="7" s="1"/>
  <c r="AC248" i="7"/>
  <c r="AC251" i="7" s="1"/>
  <c r="Q133" i="7"/>
  <c r="Q136" i="7" s="1"/>
  <c r="AD43" i="7"/>
  <c r="AD46" i="7" s="1"/>
  <c r="O139" i="7"/>
  <c r="O142" i="7" s="1"/>
  <c r="AD67" i="7"/>
  <c r="AD70" i="7" s="1"/>
  <c r="AC205" i="7"/>
  <c r="AC208" i="7" s="1"/>
  <c r="AA55" i="7"/>
  <c r="AA58" i="7" s="1"/>
  <c r="AA43" i="7"/>
  <c r="AA46" i="7" s="1"/>
  <c r="K67" i="7"/>
  <c r="O31" i="7"/>
  <c r="O34" i="7" s="1"/>
  <c r="U25" i="7"/>
  <c r="U28" i="7" s="1"/>
  <c r="AA127" i="7"/>
  <c r="AA130" i="7" s="1"/>
  <c r="I217" i="7"/>
  <c r="AD284" i="7"/>
  <c r="AD287" i="7" s="1"/>
  <c r="K284" i="7"/>
  <c r="AD320" i="7"/>
  <c r="AD323" i="7" s="1"/>
  <c r="S205" i="7"/>
  <c r="S208" i="7" s="1"/>
  <c r="Q266" i="7"/>
  <c r="Q269" i="7" s="1"/>
  <c r="U145" i="7"/>
  <c r="U148" i="7" s="1"/>
  <c r="AA163" i="7"/>
  <c r="AA166" i="7" s="1"/>
  <c r="M73" i="7"/>
  <c r="M76" i="7" s="1"/>
  <c r="W103" i="7"/>
  <c r="W106" i="7" s="1"/>
  <c r="Y73" i="7"/>
  <c r="Y76" i="7" s="1"/>
  <c r="M242" i="7"/>
  <c r="S254" i="7"/>
  <c r="S257" i="7" s="1"/>
  <c r="AC266" i="7"/>
  <c r="AC269" i="7" s="1"/>
  <c r="AD79" i="7"/>
  <c r="AD82" i="7" s="1"/>
  <c r="M151" i="7"/>
  <c r="Q169" i="7"/>
  <c r="Q172" i="7" s="1"/>
  <c r="M61" i="7"/>
  <c r="AD151" i="7"/>
  <c r="AD154" i="7" s="1"/>
  <c r="S43" i="7"/>
  <c r="S46" i="7" s="1"/>
  <c r="O43" i="7"/>
  <c r="O46" i="7" s="1"/>
  <c r="I157" i="7"/>
  <c r="AD314" i="7"/>
  <c r="AD317" i="7" s="1"/>
  <c r="AA25" i="7"/>
  <c r="AA28" i="7" s="1"/>
  <c r="U230" i="7"/>
  <c r="U233" i="7" s="1"/>
  <c r="Y296" i="7"/>
  <c r="Y299" i="7" s="1"/>
  <c r="O284" i="7"/>
  <c r="O287" i="7" s="1"/>
  <c r="Y242" i="7"/>
  <c r="W242" i="7"/>
  <c r="W245" i="7" s="1"/>
  <c r="K224" i="7"/>
  <c r="K227" i="7" s="1"/>
  <c r="O320" i="7"/>
  <c r="S211" i="7"/>
  <c r="Q109" i="7"/>
  <c r="AC163" i="7"/>
  <c r="AC166" i="7" s="1"/>
  <c r="Q193" i="7"/>
  <c r="Q196" i="7" s="1"/>
  <c r="AC49" i="7"/>
  <c r="AC52" i="7" s="1"/>
  <c r="O79" i="7"/>
  <c r="O82" i="7" s="1"/>
  <c r="AA109" i="7"/>
  <c r="AA112" i="7" s="1"/>
  <c r="I25" i="7"/>
  <c r="W49" i="7"/>
  <c r="W52" i="7" s="1"/>
  <c r="I79" i="7"/>
  <c r="I82" i="7" s="1"/>
  <c r="Q85" i="7"/>
  <c r="Q88" i="7" s="1"/>
  <c r="I73" i="7"/>
  <c r="O175" i="7"/>
  <c r="O178" i="7" s="1"/>
  <c r="M314" i="7"/>
  <c r="M317" i="7" s="1"/>
  <c r="U266" i="7"/>
  <c r="U269" i="7" s="1"/>
  <c r="M272" i="7"/>
  <c r="M275" i="7" s="1"/>
  <c r="W181" i="7"/>
  <c r="W184" i="7" s="1"/>
  <c r="Q230" i="7"/>
  <c r="Q233" i="7" s="1"/>
  <c r="I175" i="7"/>
  <c r="I178" i="7" s="1"/>
  <c r="AA199" i="7"/>
  <c r="AA202" i="7" s="1"/>
  <c r="I199" i="7"/>
  <c r="Y67" i="7"/>
  <c r="Y70" i="7" s="1"/>
  <c r="K230" i="7"/>
  <c r="K233" i="7" s="1"/>
  <c r="W199" i="7"/>
  <c r="W202" i="7" s="1"/>
  <c r="I266" i="7"/>
  <c r="S61" i="7"/>
  <c r="S64" i="7" s="1"/>
  <c r="AC55" i="7"/>
  <c r="AC58" i="7" s="1"/>
  <c r="AC61" i="7"/>
  <c r="AC64" i="7" s="1"/>
  <c r="W266" i="7"/>
  <c r="W269" i="7" s="1"/>
  <c r="AC230" i="7"/>
  <c r="AC233" i="7" s="1"/>
  <c r="U236" i="7"/>
  <c r="U239" i="7" s="1"/>
  <c r="Q157" i="7"/>
  <c r="Q160" i="7" s="1"/>
  <c r="U278" i="7"/>
  <c r="U281" i="7" s="1"/>
  <c r="M103" i="7"/>
  <c r="M106" i="7" s="1"/>
  <c r="S49" i="7"/>
  <c r="S52" i="7" s="1"/>
  <c r="I85" i="7"/>
  <c r="K91" i="7"/>
  <c r="W175" i="7"/>
  <c r="W178" i="7" s="1"/>
  <c r="AA266" i="7"/>
  <c r="AA269" i="7" s="1"/>
  <c r="O230" i="7"/>
  <c r="O233" i="7" s="1"/>
  <c r="AD145" i="7"/>
  <c r="AD148" i="7" s="1"/>
  <c r="K85" i="7"/>
  <c r="K88" i="7" s="1"/>
  <c r="Q145" i="7"/>
  <c r="Q148" i="7" s="1"/>
  <c r="Y272" i="7"/>
  <c r="Y275" i="7" s="1"/>
  <c r="W320" i="7"/>
  <c r="W323" i="7" s="1"/>
  <c r="AD25" i="7"/>
  <c r="AD28" i="7" s="1"/>
  <c r="W85" i="7"/>
  <c r="W88" i="7" s="1"/>
  <c r="Q67" i="7"/>
  <c r="Q70" i="7" s="1"/>
  <c r="S73" i="7"/>
  <c r="S76" i="7" s="1"/>
  <c r="AA278" i="7"/>
  <c r="AA281" i="7" s="1"/>
  <c r="O236" i="7"/>
  <c r="O239" i="7" s="1"/>
  <c r="AD278" i="7"/>
  <c r="AD281" i="7" s="1"/>
  <c r="AA284" i="7"/>
  <c r="AA287" i="7" s="1"/>
  <c r="Q254" i="7"/>
  <c r="Q257" i="7" s="1"/>
  <c r="AC254" i="7"/>
  <c r="AC257" i="7" s="1"/>
  <c r="AC169" i="7"/>
  <c r="AC172" i="7" s="1"/>
  <c r="S97" i="7"/>
  <c r="S100" i="7" s="1"/>
  <c r="M157" i="7"/>
  <c r="M160" i="7" s="1"/>
  <c r="Q97" i="7"/>
  <c r="Q100" i="7" s="1"/>
  <c r="AA254" i="7"/>
  <c r="AD121" i="7"/>
  <c r="AD124" i="7" s="1"/>
  <c r="O85" i="7"/>
  <c r="O88" i="7" s="1"/>
  <c r="AD181" i="7"/>
  <c r="AD184" i="7" s="1"/>
  <c r="AC103" i="7"/>
  <c r="AC106" i="7" s="1"/>
  <c r="Q43" i="7"/>
  <c r="Q46" i="7" s="1"/>
  <c r="Q139" i="7"/>
  <c r="Q142" i="7" s="1"/>
  <c r="O73" i="7"/>
  <c r="O76" i="7" s="1"/>
  <c r="Y91" i="7"/>
  <c r="Y94" i="7" s="1"/>
  <c r="Q121" i="7"/>
  <c r="Q124" i="7" s="1"/>
  <c r="K121" i="7"/>
  <c r="K124" i="7" s="1"/>
  <c r="M181" i="7"/>
  <c r="M184" i="7" s="1"/>
  <c r="AC193" i="7"/>
  <c r="AC196" i="7" s="1"/>
  <c r="K199" i="7"/>
  <c r="K202" i="7" s="1"/>
  <c r="AA67" i="7"/>
  <c r="AA70" i="7" s="1"/>
  <c r="AA296" i="7"/>
  <c r="AA299" i="7" s="1"/>
  <c r="AD224" i="7"/>
  <c r="AD227" i="7" s="1"/>
  <c r="M248" i="7"/>
  <c r="M251" i="7" s="1"/>
  <c r="Y169" i="7"/>
  <c r="Y172" i="7" s="1"/>
  <c r="M230" i="7"/>
  <c r="M233" i="7" s="1"/>
  <c r="Y224" i="7"/>
  <c r="Y227" i="7" s="1"/>
  <c r="I55" i="7"/>
  <c r="AA103" i="7"/>
  <c r="AA106" i="7" s="1"/>
  <c r="Q31" i="7"/>
  <c r="Q34" i="7" s="1"/>
  <c r="O103" i="7"/>
  <c r="O106" i="7" s="1"/>
  <c r="O193" i="7"/>
  <c r="O196" i="7" s="1"/>
  <c r="Q61" i="7"/>
  <c r="Q64" i="7" s="1"/>
  <c r="O55" i="7"/>
  <c r="O58" i="7" s="1"/>
  <c r="Q290" i="7"/>
  <c r="Q293" i="7" s="1"/>
  <c r="AA193" i="7"/>
  <c r="AA196" i="7" s="1"/>
  <c r="W302" i="7"/>
  <c r="W305" i="7" s="1"/>
  <c r="W115" i="7"/>
  <c r="W118" i="7" s="1"/>
  <c r="AD85" i="7"/>
  <c r="AD88" i="7" s="1"/>
  <c r="Y31" i="7"/>
  <c r="Y34" i="7" s="1"/>
  <c r="Q49" i="7"/>
  <c r="Q52" i="7" s="1"/>
  <c r="AC272" i="7"/>
  <c r="AC275" i="7" s="1"/>
  <c r="AC151" i="7"/>
  <c r="AC154" i="7" s="1"/>
  <c r="W109" i="7"/>
  <c r="W112" i="7" s="1"/>
  <c r="AC85" i="7"/>
  <c r="AC88" i="7" s="1"/>
  <c r="Q199" i="7"/>
  <c r="Q202" i="7" s="1"/>
  <c r="Y187" i="7"/>
  <c r="Y190" i="7" s="1"/>
  <c r="K326" i="7"/>
  <c r="K329" i="7" s="1"/>
  <c r="K340" i="7" s="1"/>
  <c r="S339" i="7"/>
  <c r="G4" i="20"/>
  <c r="G11" i="20" s="1"/>
  <c r="R76" i="9" s="1"/>
  <c r="I8" i="20"/>
  <c r="H7" i="20"/>
  <c r="E8" i="20"/>
  <c r="E11" i="20" s="1"/>
  <c r="J76" i="9" s="1"/>
  <c r="H9" i="20"/>
  <c r="V15" i="9" s="1"/>
  <c r="AF86" i="10"/>
  <c r="AA85" i="10"/>
  <c r="AB84" i="10"/>
  <c r="P88" i="10"/>
  <c r="AE88" i="10"/>
  <c r="M87" i="10"/>
  <c r="U84" i="10"/>
  <c r="AA272" i="7"/>
  <c r="AA275" i="7" s="1"/>
  <c r="S55" i="7"/>
  <c r="S58" i="7" s="1"/>
  <c r="M175" i="7"/>
  <c r="M178" i="7" s="1"/>
  <c r="K248" i="7"/>
  <c r="I193" i="7"/>
  <c r="AA31" i="7"/>
  <c r="AA34" i="7" s="1"/>
  <c r="Q91" i="7"/>
  <c r="Q94" i="7" s="1"/>
  <c r="AC97" i="7"/>
  <c r="AC100" i="7" s="1"/>
  <c r="S199" i="7"/>
  <c r="S202" i="7" s="1"/>
  <c r="Q314" i="7"/>
  <c r="Q317" i="7" s="1"/>
  <c r="AC236" i="7"/>
  <c r="AC239" i="7" s="1"/>
  <c r="M31" i="7"/>
  <c r="AC79" i="7"/>
  <c r="AC82" i="7" s="1"/>
  <c r="K272" i="7"/>
  <c r="K275" i="7" s="1"/>
  <c r="K296" i="7"/>
  <c r="K299" i="7" s="1"/>
  <c r="AD217" i="7"/>
  <c r="AD220" i="7" s="1"/>
  <c r="AC175" i="7"/>
  <c r="AC178" i="7" s="1"/>
  <c r="AD211" i="7"/>
  <c r="AD214" i="7" s="1"/>
  <c r="AA230" i="7"/>
  <c r="AA233" i="7" s="1"/>
  <c r="M266" i="7"/>
  <c r="M269" i="7" s="1"/>
  <c r="AA260" i="7"/>
  <c r="AD139" i="7"/>
  <c r="AD142" i="7" s="1"/>
  <c r="AC31" i="7"/>
  <c r="AC34" i="7" s="1"/>
  <c r="U91" i="7"/>
  <c r="U94" i="7" s="1"/>
  <c r="Q55" i="7"/>
  <c r="Q58" i="7" s="1"/>
  <c r="W163" i="7"/>
  <c r="W166" i="7" s="1"/>
  <c r="AC91" i="7"/>
  <c r="AC94" i="7" s="1"/>
  <c r="O242" i="7"/>
  <c r="O245" i="7" s="1"/>
  <c r="K163" i="7"/>
  <c r="K169" i="7"/>
  <c r="Y181" i="7"/>
  <c r="Y184" i="7" s="1"/>
  <c r="Q260" i="7"/>
  <c r="Q263" i="7" s="1"/>
  <c r="M224" i="7"/>
  <c r="M227" i="7" s="1"/>
  <c r="AA290" i="7"/>
  <c r="AA293" i="7" s="1"/>
  <c r="Y302" i="7"/>
  <c r="Y305" i="7" s="1"/>
  <c r="AA302" i="7"/>
  <c r="AA305" i="7" s="1"/>
  <c r="AD260" i="7"/>
  <c r="AD263" i="7" s="1"/>
  <c r="AE310" i="7"/>
  <c r="AE327" i="7"/>
  <c r="AA224" i="7"/>
  <c r="AA227" i="7" s="1"/>
  <c r="M236" i="7"/>
  <c r="M239" i="7" s="1"/>
  <c r="I254" i="7"/>
  <c r="S127" i="7"/>
  <c r="S130" i="7" s="1"/>
  <c r="S260" i="7"/>
  <c r="S263" i="7" s="1"/>
  <c r="AC308" i="7"/>
  <c r="AC311" i="7" s="1"/>
  <c r="R12" i="17"/>
  <c r="L20" i="17"/>
  <c r="S61" i="11"/>
  <c r="S61" i="2" s="1"/>
  <c r="R14" i="17"/>
  <c r="M23" i="7"/>
  <c r="K23" i="7"/>
  <c r="O222" i="7"/>
  <c r="L339" i="7"/>
  <c r="U130" i="7"/>
  <c r="U127" i="7"/>
  <c r="AE262" i="7"/>
  <c r="O308" i="7"/>
  <c r="O311" i="7" s="1"/>
  <c r="AD308" i="7"/>
  <c r="AD311" i="7" s="1"/>
  <c r="W326" i="7"/>
  <c r="W329" i="7" s="1"/>
  <c r="O339" i="7"/>
  <c r="AE87" i="11"/>
  <c r="Y85" i="11"/>
  <c r="Z86" i="11"/>
  <c r="W88" i="11"/>
  <c r="AD85" i="11"/>
  <c r="S88" i="11"/>
  <c r="AE84" i="11"/>
  <c r="AG85" i="11"/>
  <c r="T86" i="11"/>
  <c r="AE88" i="11"/>
  <c r="O85" i="11"/>
  <c r="T87" i="11"/>
  <c r="S84" i="8"/>
  <c r="AB86" i="8"/>
  <c r="S87" i="8"/>
  <c r="U88" i="8"/>
  <c r="AE86" i="8"/>
  <c r="AC88" i="8"/>
  <c r="N87" i="8"/>
  <c r="O85" i="8"/>
  <c r="Q88" i="8"/>
  <c r="V84" i="8"/>
  <c r="AE84" i="8"/>
  <c r="V86" i="8"/>
  <c r="W88" i="9"/>
  <c r="AG88" i="9"/>
  <c r="P85" i="6"/>
  <c r="AH85" i="9"/>
  <c r="AK486" i="7"/>
  <c r="AH87" i="10"/>
  <c r="AF85" i="6"/>
  <c r="N88" i="8"/>
  <c r="M64" i="8"/>
  <c r="M64" i="2" s="1"/>
  <c r="O87" i="8"/>
  <c r="R16" i="10"/>
  <c r="R81" i="10" s="1"/>
  <c r="R79" i="10" s="1"/>
  <c r="R82" i="10" s="1"/>
  <c r="AF85" i="14"/>
  <c r="M19" i="15"/>
  <c r="I14" i="19"/>
  <c r="X14" i="19" s="1"/>
  <c r="I62" i="19"/>
  <c r="I64" i="19" s="1"/>
  <c r="I65" i="19" s="1"/>
  <c r="I66" i="19" s="1"/>
  <c r="P87" i="14"/>
  <c r="P90" i="14" s="1"/>
  <c r="X88" i="10"/>
  <c r="AC130" i="7"/>
  <c r="L19" i="15"/>
  <c r="L14" i="8"/>
  <c r="AD321" i="26"/>
  <c r="AD286" i="26"/>
  <c r="AD346" i="26"/>
  <c r="AW323" i="26"/>
  <c r="BA323" i="26" s="1"/>
  <c r="K422" i="26"/>
  <c r="K85" i="6"/>
  <c r="L88" i="11"/>
  <c r="K84" i="11"/>
  <c r="N88" i="10"/>
  <c r="T59" i="13"/>
  <c r="AR246" i="26"/>
  <c r="P75" i="4"/>
  <c r="P75" i="2" s="1"/>
  <c r="AI341" i="26"/>
  <c r="AI332" i="26"/>
  <c r="Q75" i="4"/>
  <c r="Q75" i="2" s="1"/>
  <c r="AJ341" i="26"/>
  <c r="AJ332" i="26"/>
  <c r="AJ344" i="26" s="1"/>
  <c r="K21" i="19"/>
  <c r="AD85" i="10"/>
  <c r="V85" i="10"/>
  <c r="AD87" i="10"/>
  <c r="Q86" i="10"/>
  <c r="AF88" i="14"/>
  <c r="AC88" i="14"/>
  <c r="V88" i="14"/>
  <c r="V90" i="14" s="1"/>
  <c r="J85" i="9"/>
  <c r="X87" i="9"/>
  <c r="Z84" i="11"/>
  <c r="T84" i="11"/>
  <c r="AC84" i="11"/>
  <c r="AF87" i="14"/>
  <c r="U87" i="14"/>
  <c r="X85" i="9"/>
  <c r="U85" i="9"/>
  <c r="V85" i="9"/>
  <c r="AS192" i="26"/>
  <c r="Z44" i="4"/>
  <c r="Z44" i="2" s="1"/>
  <c r="AX114" i="26"/>
  <c r="N14" i="10"/>
  <c r="L61" i="19"/>
  <c r="K88" i="4"/>
  <c r="W88" i="4"/>
  <c r="M60" i="11"/>
  <c r="AB23" i="18"/>
  <c r="AL23" i="18" s="1"/>
  <c r="X23" i="18"/>
  <c r="G372" i="7"/>
  <c r="O372" i="7" s="1"/>
  <c r="G415" i="7"/>
  <c r="M415" i="7" s="1"/>
  <c r="AK483" i="7"/>
  <c r="O45" i="2"/>
  <c r="Q88" i="6"/>
  <c r="M60" i="8"/>
  <c r="M86" i="8" s="1"/>
  <c r="L88" i="8"/>
  <c r="N60" i="11"/>
  <c r="M84" i="10"/>
  <c r="K87" i="11"/>
  <c r="AF88" i="9"/>
  <c r="M87" i="8"/>
  <c r="U60" i="11"/>
  <c r="M16" i="10"/>
  <c r="AF87" i="8"/>
  <c r="X85" i="10"/>
  <c r="P87" i="8"/>
  <c r="P88" i="8"/>
  <c r="O60" i="11"/>
  <c r="V60" i="11"/>
  <c r="V81" i="11" s="1"/>
  <c r="V79" i="11" s="1"/>
  <c r="V82" i="11" s="1"/>
  <c r="X18" i="18"/>
  <c r="P16" i="10"/>
  <c r="P16" i="2" s="1"/>
  <c r="P86" i="2" s="1"/>
  <c r="K88" i="10"/>
  <c r="J62" i="19"/>
  <c r="J64" i="19" s="1"/>
  <c r="J65" i="19" s="1"/>
  <c r="J66" i="19" s="1"/>
  <c r="AD88" i="10"/>
  <c r="Y84" i="8"/>
  <c r="U87" i="10"/>
  <c r="P114" i="13"/>
  <c r="AI150" i="26"/>
  <c r="Q19" i="4"/>
  <c r="AJ273" i="26"/>
  <c r="X40" i="19"/>
  <c r="AC87" i="8"/>
  <c r="AD86" i="14"/>
  <c r="J114" i="13"/>
  <c r="V29" i="5"/>
  <c r="P33" i="5"/>
  <c r="P33" i="2" s="1"/>
  <c r="AW234" i="26"/>
  <c r="K66" i="26"/>
  <c r="I78" i="26"/>
  <c r="T138" i="26"/>
  <c r="AR162" i="26"/>
  <c r="AR234" i="26" s="1"/>
  <c r="AT168" i="26"/>
  <c r="AT234" i="26" s="1"/>
  <c r="AT231" i="26"/>
  <c r="AD204" i="26"/>
  <c r="AD234" i="26" s="1"/>
  <c r="AD231" i="26"/>
  <c r="S144" i="26"/>
  <c r="AG270" i="26"/>
  <c r="AG276" i="26" s="1"/>
  <c r="AC138" i="26"/>
  <c r="AC141" i="26"/>
  <c r="AU180" i="26"/>
  <c r="AU234" i="26" s="1"/>
  <c r="AU231" i="26"/>
  <c r="AJ156" i="26"/>
  <c r="Q270" i="26"/>
  <c r="Q348" i="26"/>
  <c r="Q274" i="26"/>
  <c r="Q276" i="26" s="1"/>
  <c r="AW268" i="26"/>
  <c r="L87" i="8"/>
  <c r="K87" i="8"/>
  <c r="O61" i="11"/>
  <c r="O88" i="11" s="1"/>
  <c r="G62" i="19"/>
  <c r="G64" i="19" s="1"/>
  <c r="G65" i="19" s="1"/>
  <c r="G66" i="19" s="1"/>
  <c r="X26" i="18"/>
  <c r="T85" i="10"/>
  <c r="S88" i="10"/>
  <c r="H8" i="19"/>
  <c r="R8" i="19" s="1"/>
  <c r="S8" i="19" s="1"/>
  <c r="T8" i="19" s="1"/>
  <c r="U8" i="19" s="1"/>
  <c r="V8" i="19" s="1"/>
  <c r="W8" i="19" s="1"/>
  <c r="AB87" i="10"/>
  <c r="AG87" i="8"/>
  <c r="N114" i="13"/>
  <c r="T29" i="5"/>
  <c r="U29" i="5"/>
  <c r="U29" i="2" s="1"/>
  <c r="J437" i="26"/>
  <c r="I437" i="26"/>
  <c r="I124" i="26" s="1"/>
  <c r="AO72" i="26"/>
  <c r="AR42" i="26"/>
  <c r="O37" i="7"/>
  <c r="O40" i="7" s="1"/>
  <c r="O41" i="7" s="1"/>
  <c r="AA308" i="7"/>
  <c r="AA311" i="7" s="1"/>
  <c r="AK485" i="7"/>
  <c r="U85" i="6"/>
  <c r="Z24" i="2"/>
  <c r="Z87" i="2" s="1"/>
  <c r="M41" i="2"/>
  <c r="L56" i="2"/>
  <c r="N64" i="8"/>
  <c r="R60" i="11"/>
  <c r="Q14" i="10"/>
  <c r="S25" i="20"/>
  <c r="AG86" i="14"/>
  <c r="AD84" i="14"/>
  <c r="AG86" i="11"/>
  <c r="AF87" i="9"/>
  <c r="AH68" i="5"/>
  <c r="V26" i="13"/>
  <c r="M58" i="13" s="1"/>
  <c r="N29" i="5" s="1"/>
  <c r="P59" i="13"/>
  <c r="V33" i="5"/>
  <c r="V33" i="2" s="1"/>
  <c r="T90" i="26"/>
  <c r="AR138" i="26"/>
  <c r="AR144" i="26" s="1"/>
  <c r="AR141" i="26"/>
  <c r="T150" i="26"/>
  <c r="AS270" i="26"/>
  <c r="AS276" i="26" s="1"/>
  <c r="AS273" i="26"/>
  <c r="P87" i="11"/>
  <c r="O114" i="13"/>
  <c r="L114" i="13"/>
  <c r="Q59" i="13"/>
  <c r="AH150" i="26"/>
  <c r="AH234" i="26" s="1"/>
  <c r="O44" i="4"/>
  <c r="O44" i="2" s="1"/>
  <c r="AK60" i="26"/>
  <c r="R16" i="4"/>
  <c r="R16" i="2" s="1"/>
  <c r="R86" i="2" s="1"/>
  <c r="AG75" i="4"/>
  <c r="AG75" i="2" s="1"/>
  <c r="Y87" i="11"/>
  <c r="W88" i="10"/>
  <c r="AD86" i="8"/>
  <c r="AD48" i="26"/>
  <c r="AD54" i="26" s="1"/>
  <c r="K15" i="4"/>
  <c r="K15" i="2" s="1"/>
  <c r="AD51" i="26"/>
  <c r="AK90" i="26"/>
  <c r="J48" i="26"/>
  <c r="T252" i="26"/>
  <c r="T246" i="26"/>
  <c r="AV338" i="26"/>
  <c r="AV344" i="26" s="1"/>
  <c r="AC75" i="4"/>
  <c r="AC75" i="2" s="1"/>
  <c r="AV341" i="26"/>
  <c r="T192" i="26"/>
  <c r="AF120" i="26"/>
  <c r="AF144" i="26" s="1"/>
  <c r="AF141" i="26"/>
  <c r="M40" i="4"/>
  <c r="M40" i="2" s="1"/>
  <c r="AA86" i="10"/>
  <c r="AF84" i="14"/>
  <c r="AF90" i="14" s="1"/>
  <c r="Z87" i="8"/>
  <c r="P91" i="13"/>
  <c r="N12" i="13"/>
  <c r="N11" i="13" s="1"/>
  <c r="AX234" i="26"/>
  <c r="AE33" i="26"/>
  <c r="AE346" i="26"/>
  <c r="AB14" i="4"/>
  <c r="AF349" i="26"/>
  <c r="AH50" i="26"/>
  <c r="AH39" i="26"/>
  <c r="AH42" i="26" s="1"/>
  <c r="AQ141" i="26"/>
  <c r="AH72" i="26"/>
  <c r="T120" i="26"/>
  <c r="AO276" i="26"/>
  <c r="AL276" i="26"/>
  <c r="AS344" i="26"/>
  <c r="AP144" i="26"/>
  <c r="W45" i="4"/>
  <c r="AP232" i="26"/>
  <c r="BA102" i="26"/>
  <c r="T174" i="26"/>
  <c r="T162" i="26"/>
  <c r="BA120" i="26"/>
  <c r="AR255" i="26"/>
  <c r="AR258" i="26" s="1"/>
  <c r="S325" i="26"/>
  <c r="AF60" i="26"/>
  <c r="M16" i="4"/>
  <c r="AI349" i="26"/>
  <c r="AP349" i="26"/>
  <c r="AR346" i="26"/>
  <c r="AR50" i="26"/>
  <c r="AX276" i="26"/>
  <c r="AK295" i="26"/>
  <c r="AZ141" i="26"/>
  <c r="T96" i="26"/>
  <c r="AF246" i="26"/>
  <c r="BA246" i="26" s="1"/>
  <c r="AE147" i="26"/>
  <c r="I63" i="13"/>
  <c r="T222" i="26"/>
  <c r="T132" i="26"/>
  <c r="AM231" i="26"/>
  <c r="T156" i="26"/>
  <c r="V22" i="13"/>
  <c r="I66" i="13"/>
  <c r="R33" i="5"/>
  <c r="R33" i="2" s="1"/>
  <c r="I67" i="13"/>
  <c r="AO195" i="26"/>
  <c r="AC144" i="26"/>
  <c r="M14" i="4"/>
  <c r="J54" i="26"/>
  <c r="R54" i="26"/>
  <c r="AQ39" i="26"/>
  <c r="L273" i="26"/>
  <c r="L276" i="26" s="1"/>
  <c r="AF44" i="4"/>
  <c r="AF44" i="2" s="1"/>
  <c r="AZ50" i="26"/>
  <c r="AZ346" i="26"/>
  <c r="L341" i="26"/>
  <c r="K325" i="26"/>
  <c r="AI36" i="26"/>
  <c r="S54" i="26"/>
  <c r="AF159" i="26"/>
  <c r="AF162" i="26" s="1"/>
  <c r="T216" i="26"/>
  <c r="AU45" i="26"/>
  <c r="AB15" i="4" s="1"/>
  <c r="AB15" i="2" s="1"/>
  <c r="AG159" i="26"/>
  <c r="AL346" i="26"/>
  <c r="Q81" i="26"/>
  <c r="Q84" i="26" s="1"/>
  <c r="N261" i="26"/>
  <c r="N264" i="26" s="1"/>
  <c r="T264" i="26" s="1"/>
  <c r="AL39" i="26"/>
  <c r="AL42" i="26" s="1"/>
  <c r="AN69" i="26"/>
  <c r="AV93" i="26"/>
  <c r="AV96" i="26" s="1"/>
  <c r="L39" i="26"/>
  <c r="AT69" i="26"/>
  <c r="AJ105" i="26"/>
  <c r="AJ108" i="26" s="1"/>
  <c r="AL75" i="26"/>
  <c r="AK105" i="26"/>
  <c r="AK108" i="26" s="1"/>
  <c r="AC171" i="26"/>
  <c r="J44" i="4" s="1"/>
  <c r="J44" i="2" s="1"/>
  <c r="AH44" i="2" s="1"/>
  <c r="Q39" i="26"/>
  <c r="Q42" i="26" s="1"/>
  <c r="K75" i="26"/>
  <c r="K78" i="26" s="1"/>
  <c r="R99" i="26"/>
  <c r="R102" i="26" s="1"/>
  <c r="AQ207" i="26"/>
  <c r="AJ45" i="26"/>
  <c r="Q15" i="4" s="1"/>
  <c r="Q15" i="2" s="1"/>
  <c r="AK171" i="26"/>
  <c r="AK174" i="26" s="1"/>
  <c r="H105" i="26"/>
  <c r="AI213" i="26"/>
  <c r="AI216" i="26" s="1"/>
  <c r="BA216" i="26" s="1"/>
  <c r="AO111" i="26"/>
  <c r="AO114" i="26" s="1"/>
  <c r="AO144" i="26" s="1"/>
  <c r="AV177" i="26"/>
  <c r="AV180" i="26" s="1"/>
  <c r="P63" i="26"/>
  <c r="P66" i="26" s="1"/>
  <c r="T66" i="26" s="1"/>
  <c r="I81" i="26"/>
  <c r="I84" i="26" s="1"/>
  <c r="Q105" i="26"/>
  <c r="Q108" i="26" s="1"/>
  <c r="AV153" i="26"/>
  <c r="AV156" i="26" s="1"/>
  <c r="AV234" i="26" s="1"/>
  <c r="AI249" i="26"/>
  <c r="I335" i="26"/>
  <c r="AG335" i="26"/>
  <c r="AN335" i="26"/>
  <c r="AS316" i="26"/>
  <c r="Z75" i="4" s="1"/>
  <c r="Z75" i="2" s="1"/>
  <c r="AE335" i="26"/>
  <c r="K316" i="26"/>
  <c r="K319" i="26" s="1"/>
  <c r="AY329" i="26"/>
  <c r="AQ316" i="26"/>
  <c r="AQ319" i="26" s="1"/>
  <c r="AQ298" i="26"/>
  <c r="AE292" i="26"/>
  <c r="I286" i="26"/>
  <c r="I289" i="26" s="1"/>
  <c r="R310" i="26"/>
  <c r="R313" i="26" s="1"/>
  <c r="AX298" i="26"/>
  <c r="AL292" i="26"/>
  <c r="AL295" i="26" s="1"/>
  <c r="P286" i="26"/>
  <c r="P289" i="26" s="1"/>
  <c r="AO316" i="26"/>
  <c r="AG298" i="26"/>
  <c r="AG310" i="26"/>
  <c r="AG313" i="26" s="1"/>
  <c r="O298" i="26"/>
  <c r="O301" i="26" s="1"/>
  <c r="T301" i="26" s="1"/>
  <c r="AT93" i="26"/>
  <c r="AT96" i="26" s="1"/>
  <c r="AM135" i="26"/>
  <c r="AC39" i="26"/>
  <c r="R81" i="26"/>
  <c r="R84" i="26" s="1"/>
  <c r="AI153" i="26"/>
  <c r="AI156" i="26" s="1"/>
  <c r="P45" i="26"/>
  <c r="P48" i="26" s="1"/>
  <c r="AJ75" i="26"/>
  <c r="AI105" i="26"/>
  <c r="AI108" i="26" s="1"/>
  <c r="AE201" i="26"/>
  <c r="AE204" i="26" s="1"/>
  <c r="AY39" i="26"/>
  <c r="K51" i="26"/>
  <c r="K54" i="26" s="1"/>
  <c r="AV69" i="26"/>
  <c r="AV72" i="26" s="1"/>
  <c r="AV144" i="26" s="1"/>
  <c r="Q99" i="26"/>
  <c r="Q102" i="26" s="1"/>
  <c r="T102" i="26" s="1"/>
  <c r="AS75" i="26"/>
  <c r="Z40" i="4" s="1"/>
  <c r="H111" i="26"/>
  <c r="H114" i="26" s="1"/>
  <c r="T114" i="26" s="1"/>
  <c r="AR45" i="26"/>
  <c r="AR48" i="26" s="1"/>
  <c r="AD69" i="26"/>
  <c r="AD72" i="26" s="1"/>
  <c r="AE93" i="26"/>
  <c r="AE96" i="26" s="1"/>
  <c r="AZ147" i="26"/>
  <c r="AN39" i="26"/>
  <c r="AN347" i="26" s="1"/>
  <c r="AF45" i="26"/>
  <c r="M15" i="4" s="1"/>
  <c r="M15" i="2" s="1"/>
  <c r="AN346" i="26"/>
  <c r="AN45" i="26"/>
  <c r="AN48" i="26" s="1"/>
  <c r="P51" i="26"/>
  <c r="P54" i="26" s="1"/>
  <c r="AP207" i="26"/>
  <c r="AP210" i="26" s="1"/>
  <c r="AJ225" i="26"/>
  <c r="BA324" i="26"/>
  <c r="U349" i="26"/>
  <c r="AX338" i="26"/>
  <c r="Q344" i="26"/>
  <c r="F386" i="26"/>
  <c r="L386" i="26" s="1"/>
  <c r="M341" i="26"/>
  <c r="M344" i="26" s="1"/>
  <c r="BA342" i="26"/>
  <c r="AI45" i="26"/>
  <c r="AQ45" i="26"/>
  <c r="AQ48" i="26" s="1"/>
  <c r="BA52" i="26"/>
  <c r="AE321" i="26"/>
  <c r="AK349" i="26"/>
  <c r="BA140" i="26"/>
  <c r="AP346" i="26"/>
  <c r="H341" i="26"/>
  <c r="H344" i="26" s="1"/>
  <c r="F451" i="26"/>
  <c r="D14" i="27"/>
  <c r="AH14" i="5"/>
  <c r="V84" i="5"/>
  <c r="W82" i="6"/>
  <c r="R79" i="6"/>
  <c r="R82" i="6" s="1"/>
  <c r="Q79" i="6"/>
  <c r="Q82" i="6" s="1"/>
  <c r="AH79" i="14"/>
  <c r="J82" i="14"/>
  <c r="AH82" i="14" s="1"/>
  <c r="O76" i="9"/>
  <c r="N86" i="9"/>
  <c r="N81" i="9"/>
  <c r="N76" i="2"/>
  <c r="AH16" i="2"/>
  <c r="AH86" i="2" s="1"/>
  <c r="J86" i="2"/>
  <c r="AH15" i="5"/>
  <c r="AA79" i="6"/>
  <c r="AA82" i="6" s="1"/>
  <c r="U84" i="9"/>
  <c r="AH79" i="6"/>
  <c r="J82" i="6"/>
  <c r="AH82" i="6" s="1"/>
  <c r="P84" i="5"/>
  <c r="AH90" i="14"/>
  <c r="Z82" i="6"/>
  <c r="O84" i="5"/>
  <c r="O14" i="2"/>
  <c r="T15" i="2"/>
  <c r="T84" i="5"/>
  <c r="S81" i="11"/>
  <c r="S79" i="11" s="1"/>
  <c r="S82" i="11" s="1"/>
  <c r="S86" i="11"/>
  <c r="M84" i="5"/>
  <c r="AA84" i="6"/>
  <c r="AA90" i="6" s="1"/>
  <c r="AA91" i="6" s="1"/>
  <c r="M91" i="6"/>
  <c r="AA397" i="7"/>
  <c r="AA255" i="7" s="1"/>
  <c r="Y397" i="7"/>
  <c r="Y255" i="7" s="1"/>
  <c r="AH78" i="6"/>
  <c r="J78" i="2"/>
  <c r="AH78" i="2" s="1"/>
  <c r="AG91" i="6"/>
  <c r="AE82" i="7"/>
  <c r="M372" i="7"/>
  <c r="Q372" i="7"/>
  <c r="L15" i="2"/>
  <c r="N88" i="11"/>
  <c r="N81" i="11"/>
  <c r="N79" i="11" s="1"/>
  <c r="N82" i="11" s="1"/>
  <c r="O379" i="7"/>
  <c r="Q379" i="7"/>
  <c r="M379" i="7"/>
  <c r="K415" i="7"/>
  <c r="O415" i="7"/>
  <c r="M449" i="7"/>
  <c r="O449" i="7"/>
  <c r="AG88" i="6"/>
  <c r="AG49" i="2"/>
  <c r="AG89" i="2" s="1"/>
  <c r="M408" i="7"/>
  <c r="Q408" i="7"/>
  <c r="O408" i="7"/>
  <c r="K408" i="7"/>
  <c r="K212" i="7" s="1"/>
  <c r="AE309" i="7"/>
  <c r="M423" i="7"/>
  <c r="K423" i="7"/>
  <c r="G442" i="7"/>
  <c r="G462" i="7"/>
  <c r="O462" i="7" s="1"/>
  <c r="AK484" i="7"/>
  <c r="AE49" i="2"/>
  <c r="AE89" i="2" s="1"/>
  <c r="I11" i="20"/>
  <c r="Z76" i="9" s="1"/>
  <c r="Q217" i="7"/>
  <c r="Q222" i="7"/>
  <c r="AE219" i="7"/>
  <c r="K339" i="7"/>
  <c r="C489" i="7"/>
  <c r="AI32" i="4" s="1"/>
  <c r="AI33" i="4"/>
  <c r="AI18" i="4"/>
  <c r="AI25" i="4"/>
  <c r="AE79" i="7"/>
  <c r="AC18" i="7"/>
  <c r="U18" i="7"/>
  <c r="Y18" i="7"/>
  <c r="S18" i="7"/>
  <c r="AA18" i="7"/>
  <c r="AD18" i="7"/>
  <c r="AI487" i="7"/>
  <c r="AI488" i="7" s="1"/>
  <c r="AI489" i="7" s="1"/>
  <c r="J25" i="2"/>
  <c r="AH25" i="2" s="1"/>
  <c r="AH25" i="6"/>
  <c r="M88" i="6"/>
  <c r="M49" i="2"/>
  <c r="M89" i="2" s="1"/>
  <c r="U221" i="7"/>
  <c r="U220" i="7"/>
  <c r="G431" i="7"/>
  <c r="AJ487" i="7"/>
  <c r="AJ488" i="7" s="1"/>
  <c r="AJ489" i="7" s="1"/>
  <c r="AH87" i="9"/>
  <c r="AH88" i="10"/>
  <c r="AH85" i="11"/>
  <c r="AG85" i="6"/>
  <c r="AG16" i="2"/>
  <c r="AG86" i="2" s="1"/>
  <c r="Q84" i="10"/>
  <c r="Q81" i="10"/>
  <c r="Q79" i="10" s="1"/>
  <c r="Q82" i="10" s="1"/>
  <c r="M12" i="13"/>
  <c r="M11" i="13" s="1"/>
  <c r="AC329" i="7"/>
  <c r="AC340" i="7" s="1"/>
  <c r="AE39" i="7"/>
  <c r="AE325" i="7"/>
  <c r="AE328" i="7"/>
  <c r="AC339" i="7"/>
  <c r="F487" i="7"/>
  <c r="J48" i="2"/>
  <c r="AH48" i="2" s="1"/>
  <c r="AH48" i="6"/>
  <c r="K61" i="11"/>
  <c r="R11" i="17"/>
  <c r="AF88" i="2"/>
  <c r="T61" i="2"/>
  <c r="N14" i="8"/>
  <c r="N19" i="15"/>
  <c r="F5" i="15"/>
  <c r="F14" i="15"/>
  <c r="J19" i="15"/>
  <c r="F15" i="15"/>
  <c r="G393" i="7"/>
  <c r="AK474" i="7"/>
  <c r="K18" i="8"/>
  <c r="K19" i="15"/>
  <c r="F8" i="15"/>
  <c r="AL14" i="18"/>
  <c r="O88" i="8"/>
  <c r="X17" i="18"/>
  <c r="O19" i="15"/>
  <c r="X31" i="18"/>
  <c r="O16" i="10"/>
  <c r="R86" i="10"/>
  <c r="U86" i="10"/>
  <c r="Q88" i="10"/>
  <c r="T88" i="10"/>
  <c r="AC86" i="14"/>
  <c r="Y88" i="14"/>
  <c r="L87" i="4"/>
  <c r="Y85" i="10"/>
  <c r="AD86" i="10"/>
  <c r="Y84" i="10"/>
  <c r="R87" i="10"/>
  <c r="X84" i="10"/>
  <c r="X90" i="10" s="1"/>
  <c r="Y87" i="10"/>
  <c r="AC88" i="10"/>
  <c r="AG84" i="11"/>
  <c r="AD86" i="11"/>
  <c r="Y88" i="11"/>
  <c r="Z87" i="11"/>
  <c r="N85" i="11"/>
  <c r="AD88" i="11"/>
  <c r="T85" i="11"/>
  <c r="W87" i="11"/>
  <c r="AB87" i="14"/>
  <c r="AA87" i="14"/>
  <c r="AA90" i="14" s="1"/>
  <c r="J87" i="14"/>
  <c r="Q87" i="14"/>
  <c r="Q90" i="14" s="1"/>
  <c r="S88" i="8"/>
  <c r="R88" i="8"/>
  <c r="AC86" i="8"/>
  <c r="AF88" i="8"/>
  <c r="AD85" i="8"/>
  <c r="AG86" i="8"/>
  <c r="S86" i="8"/>
  <c r="R86" i="8"/>
  <c r="R88" i="9"/>
  <c r="AE85" i="9"/>
  <c r="Z85" i="9"/>
  <c r="Z87" i="9"/>
  <c r="AA85" i="9"/>
  <c r="AG87" i="9"/>
  <c r="V88" i="9"/>
  <c r="T85" i="9"/>
  <c r="AC87" i="14"/>
  <c r="AG88" i="8"/>
  <c r="P84" i="13"/>
  <c r="O58" i="13"/>
  <c r="P29" i="5" s="1"/>
  <c r="L59" i="13"/>
  <c r="F11" i="15"/>
  <c r="F12" i="15"/>
  <c r="K20" i="17"/>
  <c r="X38" i="18"/>
  <c r="X14" i="18"/>
  <c r="S16" i="10"/>
  <c r="P86" i="10"/>
  <c r="L88" i="10"/>
  <c r="O88" i="10"/>
  <c r="J88" i="14"/>
  <c r="T88" i="14"/>
  <c r="Z88" i="14"/>
  <c r="Y86" i="10"/>
  <c r="V86" i="10"/>
  <c r="AG88" i="10"/>
  <c r="J87" i="10"/>
  <c r="W84" i="10"/>
  <c r="Q87" i="10"/>
  <c r="U87" i="11"/>
  <c r="Z88" i="11"/>
  <c r="X85" i="11"/>
  <c r="AA87" i="11"/>
  <c r="AA90" i="11" s="1"/>
  <c r="R87" i="11"/>
  <c r="AF84" i="11"/>
  <c r="X87" i="11"/>
  <c r="L85" i="11"/>
  <c r="O87" i="11"/>
  <c r="T87" i="14"/>
  <c r="K87" i="14"/>
  <c r="K90" i="14" s="1"/>
  <c r="AD85" i="14"/>
  <c r="AD88" i="14"/>
  <c r="U87" i="8"/>
  <c r="T87" i="8"/>
  <c r="U86" i="8"/>
  <c r="X88" i="8"/>
  <c r="V85" i="8"/>
  <c r="AE88" i="8"/>
  <c r="AE90" i="8" s="1"/>
  <c r="AD88" i="8"/>
  <c r="AB85" i="8"/>
  <c r="J88" i="9"/>
  <c r="O85" i="9"/>
  <c r="R85" i="9"/>
  <c r="R87" i="9"/>
  <c r="S85" i="9"/>
  <c r="Q87" i="9"/>
  <c r="N88" i="9"/>
  <c r="L85" i="9"/>
  <c r="AE84" i="10"/>
  <c r="Z84" i="10"/>
  <c r="AG84" i="10"/>
  <c r="X84" i="11"/>
  <c r="Y84" i="11"/>
  <c r="AD84" i="8"/>
  <c r="AF84" i="8"/>
  <c r="AF90" i="8" s="1"/>
  <c r="R84" i="8"/>
  <c r="M83" i="13"/>
  <c r="L33" i="5"/>
  <c r="O16" i="13"/>
  <c r="I16" i="13" s="1"/>
  <c r="M59" i="13"/>
  <c r="R59" i="13"/>
  <c r="I64" i="13"/>
  <c r="O59" i="13"/>
  <c r="M33" i="5"/>
  <c r="M33" i="2" s="1"/>
  <c r="J64" i="8"/>
  <c r="K64" i="8"/>
  <c r="F13" i="15"/>
  <c r="Q87" i="8"/>
  <c r="M88" i="8"/>
  <c r="M90" i="8" s="1"/>
  <c r="V86" i="11"/>
  <c r="Y61" i="19"/>
  <c r="P14" i="10"/>
  <c r="P14" i="2" s="1"/>
  <c r="AB35" i="18"/>
  <c r="AL35" i="18" s="1"/>
  <c r="X35" i="18"/>
  <c r="T84" i="10"/>
  <c r="S86" i="10"/>
  <c r="J88" i="10"/>
  <c r="U88" i="10"/>
  <c r="K40" i="19"/>
  <c r="U88" i="14"/>
  <c r="U90" i="14" s="1"/>
  <c r="AB88" i="14"/>
  <c r="AF88" i="4"/>
  <c r="Z88" i="10"/>
  <c r="AF85" i="10"/>
  <c r="Y88" i="10"/>
  <c r="AG86" i="10"/>
  <c r="M87" i="11"/>
  <c r="AB87" i="11"/>
  <c r="P85" i="11"/>
  <c r="P90" i="11" s="1"/>
  <c r="S87" i="11"/>
  <c r="J87" i="11"/>
  <c r="AG87" i="11"/>
  <c r="AD84" i="11"/>
  <c r="AD90" i="11" s="1"/>
  <c r="AG84" i="14"/>
  <c r="Y85" i="8"/>
  <c r="AG84" i="8"/>
  <c r="X84" i="8"/>
  <c r="W88" i="8"/>
  <c r="V88" i="8"/>
  <c r="T85" i="8"/>
  <c r="L87" i="9"/>
  <c r="AG85" i="9"/>
  <c r="Y85" i="9"/>
  <c r="J87" i="9"/>
  <c r="AE88" i="9"/>
  <c r="AC85" i="9"/>
  <c r="AC88" i="11"/>
  <c r="AC90" i="11" s="1"/>
  <c r="AG88" i="11"/>
  <c r="J88" i="11"/>
  <c r="X88" i="11"/>
  <c r="K88" i="11"/>
  <c r="K90" i="11" s="1"/>
  <c r="X88" i="14"/>
  <c r="S88" i="14"/>
  <c r="M88" i="14"/>
  <c r="U85" i="10"/>
  <c r="AE85" i="11"/>
  <c r="Q85" i="9"/>
  <c r="V18" i="13"/>
  <c r="I68" i="13"/>
  <c r="S59" i="13"/>
  <c r="N33" i="5"/>
  <c r="N33" i="2" s="1"/>
  <c r="U33" i="5"/>
  <c r="I69" i="13"/>
  <c r="AN348" i="26"/>
  <c r="AN232" i="26"/>
  <c r="AN228" i="26"/>
  <c r="AN234" i="26" s="1"/>
  <c r="U45" i="4"/>
  <c r="Z29" i="18"/>
  <c r="X29" i="18"/>
  <c r="AD88" i="9"/>
  <c r="X88" i="9"/>
  <c r="Q88" i="9"/>
  <c r="AG86" i="5"/>
  <c r="AG90" i="5" s="1"/>
  <c r="AB86" i="10"/>
  <c r="T86" i="10"/>
  <c r="Y86" i="11"/>
  <c r="AB86" i="11"/>
  <c r="W86" i="11"/>
  <c r="W90" i="11" s="1"/>
  <c r="AA86" i="8"/>
  <c r="Y86" i="8"/>
  <c r="W86" i="8"/>
  <c r="O60" i="8"/>
  <c r="X12" i="18"/>
  <c r="N85" i="10"/>
  <c r="AC84" i="14"/>
  <c r="AC90" i="14" s="1"/>
  <c r="W88" i="14"/>
  <c r="M87" i="4"/>
  <c r="AE84" i="4"/>
  <c r="W86" i="10"/>
  <c r="T87" i="10"/>
  <c r="AC86" i="10"/>
  <c r="Z87" i="10"/>
  <c r="AF84" i="10"/>
  <c r="Z86" i="10"/>
  <c r="Q85" i="11"/>
  <c r="L87" i="11"/>
  <c r="J84" i="11"/>
  <c r="AF88" i="11"/>
  <c r="V85" i="11"/>
  <c r="Q87" i="11"/>
  <c r="J86" i="11"/>
  <c r="M87" i="14"/>
  <c r="AG88" i="14"/>
  <c r="Z87" i="14"/>
  <c r="Z90" i="14" s="1"/>
  <c r="Y87" i="14"/>
  <c r="Y90" i="14" s="1"/>
  <c r="Z88" i="8"/>
  <c r="Z84" i="8"/>
  <c r="Y88" i="8"/>
  <c r="T86" i="8"/>
  <c r="W84" i="8"/>
  <c r="W90" i="8" s="1"/>
  <c r="Y87" i="8"/>
  <c r="Z86" i="8"/>
  <c r="Z88" i="9"/>
  <c r="P85" i="9"/>
  <c r="Y88" i="9"/>
  <c r="P88" i="9"/>
  <c r="N85" i="9"/>
  <c r="O88" i="9"/>
  <c r="M85" i="9"/>
  <c r="AB85" i="9"/>
  <c r="V88" i="10"/>
  <c r="AF88" i="10"/>
  <c r="R88" i="10"/>
  <c r="M88" i="10"/>
  <c r="Z87" i="4"/>
  <c r="AG87" i="10"/>
  <c r="L87" i="10"/>
  <c r="AF87" i="11"/>
  <c r="X87" i="14"/>
  <c r="X90" i="14" s="1"/>
  <c r="AG87" i="14"/>
  <c r="R87" i="14"/>
  <c r="R90" i="14" s="1"/>
  <c r="S87" i="14"/>
  <c r="S90" i="14" s="1"/>
  <c r="L87" i="14"/>
  <c r="L90" i="14" s="1"/>
  <c r="X87" i="8"/>
  <c r="R87" i="8"/>
  <c r="AB87" i="8"/>
  <c r="U87" i="9"/>
  <c r="P87" i="9"/>
  <c r="Y87" i="9"/>
  <c r="T87" i="9"/>
  <c r="U59" i="13"/>
  <c r="R12" i="13"/>
  <c r="R11" i="13" s="1"/>
  <c r="K59" i="13"/>
  <c r="I65" i="13"/>
  <c r="S74" i="4"/>
  <c r="AL322" i="26"/>
  <c r="AL283" i="26"/>
  <c r="AL325" i="26" s="1"/>
  <c r="AQ313" i="26"/>
  <c r="X75" i="4"/>
  <c r="AH48" i="26"/>
  <c r="T258" i="26"/>
  <c r="T180" i="26"/>
  <c r="AL19" i="18"/>
  <c r="R85" i="10"/>
  <c r="AF85" i="11"/>
  <c r="AB85" i="11"/>
  <c r="W85" i="9"/>
  <c r="AD85" i="9"/>
  <c r="K85" i="9"/>
  <c r="Q114" i="13"/>
  <c r="P24" i="13"/>
  <c r="I24" i="13" s="1"/>
  <c r="I62" i="13"/>
  <c r="M232" i="26"/>
  <c r="M234" i="26" s="1"/>
  <c r="T60" i="26"/>
  <c r="T61" i="26" s="1"/>
  <c r="BA96" i="26"/>
  <c r="AV348" i="26"/>
  <c r="AV274" i="26"/>
  <c r="AV270" i="26"/>
  <c r="O15" i="4"/>
  <c r="AC276" i="26"/>
  <c r="P274" i="26"/>
  <c r="P276" i="26" s="1"/>
  <c r="P270" i="26"/>
  <c r="T270" i="26" s="1"/>
  <c r="P348" i="26"/>
  <c r="U19" i="4"/>
  <c r="AN240" i="26"/>
  <c r="AV60" i="26"/>
  <c r="AC16" i="4"/>
  <c r="S33" i="5"/>
  <c r="S33" i="2" s="1"/>
  <c r="I70" i="13"/>
  <c r="AD78" i="4"/>
  <c r="AW348" i="26"/>
  <c r="AW274" i="26"/>
  <c r="AW270" i="26"/>
  <c r="AW276" i="26" s="1"/>
  <c r="AG124" i="26"/>
  <c r="I142" i="26"/>
  <c r="I144" i="26" s="1"/>
  <c r="M228" i="26"/>
  <c r="M348" i="26"/>
  <c r="AX313" i="26"/>
  <c r="AE75" i="4"/>
  <c r="AE75" i="2" s="1"/>
  <c r="BA186" i="26"/>
  <c r="AX90" i="26"/>
  <c r="AX141" i="26"/>
  <c r="N42" i="26"/>
  <c r="J40" i="4"/>
  <c r="W40" i="4"/>
  <c r="W40" i="2" s="1"/>
  <c r="AP230" i="26"/>
  <c r="M276" i="26"/>
  <c r="AZ66" i="26"/>
  <c r="AZ144" i="26" s="1"/>
  <c r="AL150" i="26"/>
  <c r="AH36" i="26"/>
  <c r="AM66" i="26"/>
  <c r="AP141" i="26"/>
  <c r="AY150" i="26"/>
  <c r="AY234" i="26" s="1"/>
  <c r="AI141" i="26"/>
  <c r="AD40" i="4"/>
  <c r="N40" i="4"/>
  <c r="AB44" i="4"/>
  <c r="AB44" i="2" s="1"/>
  <c r="M44" i="4"/>
  <c r="AD44" i="4"/>
  <c r="AD44" i="2" s="1"/>
  <c r="AA44" i="4"/>
  <c r="AA44" i="2" s="1"/>
  <c r="R19" i="4"/>
  <c r="J386" i="26"/>
  <c r="AP255" i="26"/>
  <c r="AP219" i="26"/>
  <c r="AJ230" i="26"/>
  <c r="AE78" i="26"/>
  <c r="AV141" i="26"/>
  <c r="AH347" i="26"/>
  <c r="AY231" i="26"/>
  <c r="AM150" i="26"/>
  <c r="AU141" i="26"/>
  <c r="AQ66" i="26"/>
  <c r="AB40" i="4"/>
  <c r="AB40" i="2" s="1"/>
  <c r="AE19" i="4"/>
  <c r="T44" i="4"/>
  <c r="K386" i="26"/>
  <c r="AJ233" i="26"/>
  <c r="BA233" i="26" s="1"/>
  <c r="AJ349" i="26"/>
  <c r="AU272" i="26"/>
  <c r="BA272" i="26" s="1"/>
  <c r="AU255" i="26"/>
  <c r="AW275" i="26"/>
  <c r="BA275" i="26" s="1"/>
  <c r="AW349" i="26"/>
  <c r="K470" i="26"/>
  <c r="J470" i="26"/>
  <c r="AU347" i="26"/>
  <c r="AN231" i="26"/>
  <c r="AI347" i="26"/>
  <c r="AF231" i="26"/>
  <c r="AX273" i="26"/>
  <c r="Y40" i="4"/>
  <c r="AA19" i="4"/>
  <c r="N44" i="4"/>
  <c r="N44" i="2" s="1"/>
  <c r="P40" i="4"/>
  <c r="K44" i="4"/>
  <c r="K44" i="2" s="1"/>
  <c r="AL230" i="26"/>
  <c r="AL225" i="26"/>
  <c r="S44" i="4" s="1"/>
  <c r="AX343" i="26"/>
  <c r="BA343" i="26" s="1"/>
  <c r="AX349" i="26"/>
  <c r="AM50" i="26"/>
  <c r="AM346" i="26"/>
  <c r="AL45" i="26"/>
  <c r="AL50" i="26"/>
  <c r="AV45" i="26"/>
  <c r="AV346" i="26"/>
  <c r="AH53" i="26"/>
  <c r="BA53" i="26" s="1"/>
  <c r="AH349" i="26"/>
  <c r="AM289" i="26"/>
  <c r="L344" i="26"/>
  <c r="T344" i="26" s="1"/>
  <c r="AJ346" i="26"/>
  <c r="AO33" i="26"/>
  <c r="AO346" i="26"/>
  <c r="AY346" i="26"/>
  <c r="AY33" i="26"/>
  <c r="AG40" i="4"/>
  <c r="U15" i="4"/>
  <c r="K14" i="4"/>
  <c r="AD36" i="26"/>
  <c r="AG50" i="26"/>
  <c r="AG39" i="26"/>
  <c r="AG346" i="26"/>
  <c r="AK50" i="26"/>
  <c r="AK39" i="26"/>
  <c r="Y15" i="4"/>
  <c r="AF51" i="26"/>
  <c r="AW346" i="26"/>
  <c r="AW50" i="26"/>
  <c r="AW39" i="26"/>
  <c r="AH346" i="26"/>
  <c r="AV321" i="26"/>
  <c r="L416" i="26"/>
  <c r="K416" i="26"/>
  <c r="AM48" i="26"/>
  <c r="AQ346" i="26"/>
  <c r="AQ33" i="26"/>
  <c r="AS45" i="26"/>
  <c r="Z15" i="4" s="1"/>
  <c r="AS346" i="26"/>
  <c r="AU346" i="26"/>
  <c r="J398" i="26"/>
  <c r="F398" i="26"/>
  <c r="F463" i="26"/>
  <c r="AE111" i="26"/>
  <c r="L40" i="4" s="1"/>
  <c r="AD75" i="26"/>
  <c r="M75" i="26"/>
  <c r="AD111" i="26"/>
  <c r="AD114" i="26" s="1"/>
  <c r="S39" i="26"/>
  <c r="S42" i="26" s="1"/>
  <c r="AY81" i="26"/>
  <c r="AA90" i="10"/>
  <c r="J11" i="20"/>
  <c r="AI56" i="4"/>
  <c r="AI29" i="4"/>
  <c r="AI76" i="4"/>
  <c r="AA339" i="7"/>
  <c r="W339" i="7"/>
  <c r="I339" i="7"/>
  <c r="K222" i="7"/>
  <c r="AD326" i="7"/>
  <c r="AD329" i="7" s="1"/>
  <c r="AA326" i="7"/>
  <c r="AA329" i="7" s="1"/>
  <c r="AA340" i="7" s="1"/>
  <c r="Q326" i="7"/>
  <c r="Q329" i="7" s="1"/>
  <c r="Q340" i="7" s="1"/>
  <c r="O326" i="7"/>
  <c r="O329" i="7" s="1"/>
  <c r="O340" i="7" s="1"/>
  <c r="M326" i="7"/>
  <c r="Y308" i="7"/>
  <c r="Y311" i="7" s="1"/>
  <c r="Y340" i="7" s="1"/>
  <c r="W308" i="7"/>
  <c r="W311" i="7" s="1"/>
  <c r="W340" i="7" s="1"/>
  <c r="U308" i="7"/>
  <c r="U311" i="7" s="1"/>
  <c r="U340" i="7" s="1"/>
  <c r="S308" i="7"/>
  <c r="S311" i="7" s="1"/>
  <c r="S340" i="7" s="1"/>
  <c r="I308" i="7"/>
  <c r="AC260" i="7"/>
  <c r="AC263" i="7" s="1"/>
  <c r="Y260" i="7"/>
  <c r="O260" i="7"/>
  <c r="O263" i="7" s="1"/>
  <c r="M260" i="7"/>
  <c r="M263" i="7" s="1"/>
  <c r="K260" i="7"/>
  <c r="AC217" i="7"/>
  <c r="AC220" i="7" s="1"/>
  <c r="AA217" i="7"/>
  <c r="AA220" i="7" s="1"/>
  <c r="Y217" i="7"/>
  <c r="Y220" i="7" s="1"/>
  <c r="W217" i="7"/>
  <c r="AD127" i="7"/>
  <c r="AD130" i="7" s="1"/>
  <c r="AC127" i="7"/>
  <c r="Y127" i="7"/>
  <c r="Y130" i="7" s="1"/>
  <c r="O127" i="7"/>
  <c r="M127" i="7"/>
  <c r="K127" i="7"/>
  <c r="I127" i="7"/>
  <c r="AC37" i="7"/>
  <c r="AC40" i="7" s="1"/>
  <c r="AC41" i="7" s="1"/>
  <c r="AA37" i="7"/>
  <c r="AA40" i="7" s="1"/>
  <c r="AA41" i="7" s="1"/>
  <c r="Y37" i="7"/>
  <c r="Y40" i="7" s="1"/>
  <c r="Y41" i="7" s="1"/>
  <c r="W37" i="7"/>
  <c r="W40" i="7" s="1"/>
  <c r="W41" i="7" s="1"/>
  <c r="M37" i="7"/>
  <c r="M40" i="7" s="1"/>
  <c r="M41" i="7" s="1"/>
  <c r="K37" i="7"/>
  <c r="K40" i="7" s="1"/>
  <c r="K41" i="7" s="1"/>
  <c r="I37" i="7"/>
  <c r="H20" i="17"/>
  <c r="P20" i="17"/>
  <c r="Z20" i="18"/>
  <c r="X20" i="18"/>
  <c r="AB25" i="18"/>
  <c r="X25" i="18"/>
  <c r="AB36" i="18"/>
  <c r="X36" i="18"/>
  <c r="G16" i="19"/>
  <c r="H16" i="19"/>
  <c r="G18" i="19"/>
  <c r="O18" i="19" s="1"/>
  <c r="P18" i="19" s="1"/>
  <c r="Q18" i="19" s="1"/>
  <c r="H18" i="19"/>
  <c r="R18" i="19" s="1"/>
  <c r="S18" i="19" s="1"/>
  <c r="T18" i="19" s="1"/>
  <c r="U18" i="19" s="1"/>
  <c r="V18" i="19" s="1"/>
  <c r="W18" i="19" s="1"/>
  <c r="G20" i="19"/>
  <c r="O20" i="19" s="1"/>
  <c r="P20" i="19" s="1"/>
  <c r="Q20" i="19" s="1"/>
  <c r="H20" i="19"/>
  <c r="R20" i="19" s="1"/>
  <c r="S20" i="19" s="1"/>
  <c r="T20" i="19" s="1"/>
  <c r="U20" i="19" s="1"/>
  <c r="V20" i="19" s="1"/>
  <c r="W20" i="19" s="1"/>
  <c r="I20" i="19"/>
  <c r="E27" i="20"/>
  <c r="F26" i="20"/>
  <c r="AB88" i="10"/>
  <c r="AB90" i="10" s="1"/>
  <c r="AE87" i="10"/>
  <c r="AE86" i="10"/>
  <c r="AG85" i="10"/>
  <c r="V84" i="10"/>
  <c r="V90" i="10" s="1"/>
  <c r="N87" i="11"/>
  <c r="AE86" i="11"/>
  <c r="R85" i="11"/>
  <c r="AB84" i="11"/>
  <c r="AE88" i="14"/>
  <c r="W87" i="14"/>
  <c r="AE86" i="14"/>
  <c r="AE85" i="14"/>
  <c r="AE84" i="14"/>
  <c r="AA88" i="8"/>
  <c r="AA87" i="8"/>
  <c r="AC85" i="8"/>
  <c r="AC84" i="8"/>
  <c r="L88" i="9"/>
  <c r="W87" i="9"/>
  <c r="AF85" i="9"/>
  <c r="V44" i="4"/>
  <c r="S33" i="26"/>
  <c r="R33" i="26"/>
  <c r="O33" i="26"/>
  <c r="AZ33" i="26"/>
  <c r="AT33" i="26"/>
  <c r="AR33" i="26"/>
  <c r="AL33" i="26"/>
  <c r="AJ33" i="26"/>
  <c r="AK33" i="26"/>
  <c r="AG90" i="10" l="1"/>
  <c r="L226" i="26"/>
  <c r="N58" i="13"/>
  <c r="O29" i="5" s="1"/>
  <c r="AS234" i="26"/>
  <c r="L422" i="26"/>
  <c r="AN295" i="26"/>
  <c r="AN325" i="26" s="1"/>
  <c r="U74" i="4"/>
  <c r="U74" i="2" s="1"/>
  <c r="AN322" i="26"/>
  <c r="AH332" i="26"/>
  <c r="AH344" i="26" s="1"/>
  <c r="AH341" i="26"/>
  <c r="P19" i="4"/>
  <c r="P19" i="2" s="1"/>
  <c r="AI240" i="26"/>
  <c r="AU295" i="26"/>
  <c r="AU322" i="26"/>
  <c r="AB74" i="4"/>
  <c r="AB74" i="2" s="1"/>
  <c r="Z14" i="4"/>
  <c r="Z14" i="2" s="1"/>
  <c r="AS36" i="26"/>
  <c r="W14" i="4"/>
  <c r="AP36" i="26"/>
  <c r="AI295" i="26"/>
  <c r="AI325" i="26" s="1"/>
  <c r="AI322" i="26"/>
  <c r="AL341" i="26"/>
  <c r="AL332" i="26"/>
  <c r="AL344" i="26" s="1"/>
  <c r="P347" i="26"/>
  <c r="P350" i="26" s="1"/>
  <c r="Q90" i="8"/>
  <c r="T90" i="11"/>
  <c r="T319" i="26"/>
  <c r="BA192" i="26"/>
  <c r="O40" i="4"/>
  <c r="AR231" i="26"/>
  <c r="M81" i="8"/>
  <c r="M79" i="8" s="1"/>
  <c r="M82" i="8" s="1"/>
  <c r="I422" i="26"/>
  <c r="I226" i="26" s="1"/>
  <c r="I348" i="26" s="1"/>
  <c r="AT48" i="26"/>
  <c r="AT54" i="26" s="1"/>
  <c r="AA15" i="4"/>
  <c r="AA15" i="2" s="1"/>
  <c r="AT51" i="26"/>
  <c r="AW319" i="26"/>
  <c r="AD75" i="4"/>
  <c r="AD75" i="2" s="1"/>
  <c r="AD14" i="4"/>
  <c r="AD14" i="2" s="1"/>
  <c r="AW36" i="26"/>
  <c r="Z19" i="4"/>
  <c r="Z19" i="2" s="1"/>
  <c r="S86" i="4"/>
  <c r="S48" i="2"/>
  <c r="AA86" i="4"/>
  <c r="AA48" i="2"/>
  <c r="R83" i="13"/>
  <c r="T325" i="26"/>
  <c r="W90" i="14"/>
  <c r="BA321" i="26"/>
  <c r="AS231" i="26"/>
  <c r="AC40" i="4"/>
  <c r="AC40" i="2" s="1"/>
  <c r="Q347" i="26"/>
  <c r="Q350" i="26" s="1"/>
  <c r="AQ144" i="26"/>
  <c r="R44" i="4"/>
  <c r="R44" i="2" s="1"/>
  <c r="V90" i="11"/>
  <c r="AC90" i="10"/>
  <c r="P85" i="10"/>
  <c r="AI67" i="4"/>
  <c r="AP322" i="26"/>
  <c r="Y44" i="4"/>
  <c r="Y44" i="2" s="1"/>
  <c r="Y75" i="4"/>
  <c r="Y75" i="2" s="1"/>
  <c r="AR270" i="26"/>
  <c r="AR276" i="26" s="1"/>
  <c r="AO289" i="26"/>
  <c r="V74" i="4"/>
  <c r="V74" i="2" s="1"/>
  <c r="AZ258" i="26"/>
  <c r="AZ276" i="26" s="1"/>
  <c r="AG19" i="4"/>
  <c r="AG19" i="2" s="1"/>
  <c r="AZ273" i="26"/>
  <c r="AF264" i="26"/>
  <c r="BA264" i="26" s="1"/>
  <c r="AF273" i="26"/>
  <c r="T19" i="4"/>
  <c r="T19" i="2" s="1"/>
  <c r="AM273" i="26"/>
  <c r="AM240" i="26"/>
  <c r="AM276" i="26" s="1"/>
  <c r="S91" i="6"/>
  <c r="AT270" i="26"/>
  <c r="AT276" i="26" s="1"/>
  <c r="AA75" i="4"/>
  <c r="AA75" i="2" s="1"/>
  <c r="AX144" i="26"/>
  <c r="N90" i="9"/>
  <c r="AB90" i="11"/>
  <c r="AK231" i="26"/>
  <c r="X40" i="4"/>
  <c r="P58" i="13"/>
  <c r="Q29" i="5" s="1"/>
  <c r="Q87" i="5" s="1"/>
  <c r="T313" i="26"/>
  <c r="W74" i="4"/>
  <c r="W74" i="2" s="1"/>
  <c r="AW301" i="26"/>
  <c r="AN258" i="26"/>
  <c r="AN273" i="26"/>
  <c r="AZ289" i="26"/>
  <c r="AZ325" i="26" s="1"/>
  <c r="AG74" i="4"/>
  <c r="AG74" i="2" s="1"/>
  <c r="AU338" i="26"/>
  <c r="AU344" i="26" s="1"/>
  <c r="AU341" i="26"/>
  <c r="I284" i="26"/>
  <c r="H283" i="26"/>
  <c r="T283" i="26" s="1"/>
  <c r="AC307" i="26"/>
  <c r="AC325" i="26" s="1"/>
  <c r="AC322" i="26"/>
  <c r="AT338" i="26"/>
  <c r="AT344" i="26" s="1"/>
  <c r="AT341" i="26"/>
  <c r="AU313" i="26"/>
  <c r="AB75" i="4"/>
  <c r="AB75" i="2" s="1"/>
  <c r="J14" i="4"/>
  <c r="J14" i="2" s="1"/>
  <c r="AC36" i="26"/>
  <c r="J74" i="4"/>
  <c r="J74" i="2" s="1"/>
  <c r="AH74" i="2" s="1"/>
  <c r="AZ322" i="26"/>
  <c r="Q74" i="4"/>
  <c r="Q74" i="2" s="1"/>
  <c r="Q402" i="7"/>
  <c r="O402" i="7"/>
  <c r="K18" i="10"/>
  <c r="AM322" i="26"/>
  <c r="AM283" i="26"/>
  <c r="BA283" i="26" s="1"/>
  <c r="AV231" i="26"/>
  <c r="AP347" i="26"/>
  <c r="R40" i="4"/>
  <c r="R40" i="2" s="1"/>
  <c r="AQ322" i="26"/>
  <c r="AG90" i="8"/>
  <c r="R58" i="13"/>
  <c r="S29" i="5" s="1"/>
  <c r="AE175" i="7"/>
  <c r="BA108" i="26"/>
  <c r="BA180" i="26"/>
  <c r="P74" i="4"/>
  <c r="P74" i="2" s="1"/>
  <c r="AF313" i="26"/>
  <c r="AF325" i="26" s="1"/>
  <c r="M75" i="4"/>
  <c r="M75" i="2" s="1"/>
  <c r="T345" i="26"/>
  <c r="AH295" i="26"/>
  <c r="AH325" i="26" s="1"/>
  <c r="AH322" i="26"/>
  <c r="U14" i="4"/>
  <c r="U14" i="2" s="1"/>
  <c r="AN36" i="26"/>
  <c r="AE273" i="26"/>
  <c r="AS341" i="26"/>
  <c r="AJ325" i="26"/>
  <c r="T74" i="4"/>
  <c r="T74" i="2" s="1"/>
  <c r="AF347" i="26"/>
  <c r="N347" i="26"/>
  <c r="N350" i="26" s="1"/>
  <c r="AH51" i="26"/>
  <c r="AD90" i="10"/>
  <c r="AE49" i="7"/>
  <c r="M16" i="2"/>
  <c r="M86" i="2" s="1"/>
  <c r="AE40" i="4"/>
  <c r="AE40" i="2" s="1"/>
  <c r="AV295" i="26"/>
  <c r="AC74" i="4"/>
  <c r="AC74" i="2" s="1"/>
  <c r="AH319" i="26"/>
  <c r="O75" i="4"/>
  <c r="O75" i="2" s="1"/>
  <c r="AQ338" i="26"/>
  <c r="AQ344" i="26" s="1"/>
  <c r="AQ341" i="26"/>
  <c r="AD332" i="26"/>
  <c r="AD344" i="26" s="1"/>
  <c r="K75" i="4"/>
  <c r="K75" i="2" s="1"/>
  <c r="AD341" i="26"/>
  <c r="AM60" i="26"/>
  <c r="BA60" i="26" s="1"/>
  <c r="T16" i="4"/>
  <c r="T16" i="2" s="1"/>
  <c r="T86" i="2" s="1"/>
  <c r="AF332" i="26"/>
  <c r="AF344" i="26" s="1"/>
  <c r="AF341" i="26"/>
  <c r="AX332" i="26"/>
  <c r="AX344" i="26" s="1"/>
  <c r="AX341" i="26"/>
  <c r="AW289" i="26"/>
  <c r="AW325" i="26" s="1"/>
  <c r="AW322" i="26"/>
  <c r="AO60" i="26"/>
  <c r="V16" i="4"/>
  <c r="V16" i="2" s="1"/>
  <c r="V86" i="2" s="1"/>
  <c r="N14" i="4"/>
  <c r="AG36" i="26"/>
  <c r="AJ322" i="26"/>
  <c r="AP42" i="26"/>
  <c r="AP54" i="26" s="1"/>
  <c r="W15" i="4"/>
  <c r="AP51" i="26"/>
  <c r="T276" i="26"/>
  <c r="AE90" i="11"/>
  <c r="AD340" i="7"/>
  <c r="AC44" i="4"/>
  <c r="AF48" i="26"/>
  <c r="AF54" i="26" s="1"/>
  <c r="AH54" i="26"/>
  <c r="L58" i="13"/>
  <c r="M29" i="5" s="1"/>
  <c r="M29" i="2" s="1"/>
  <c r="S75" i="4"/>
  <c r="S75" i="2" s="1"/>
  <c r="J347" i="26"/>
  <c r="AI344" i="26"/>
  <c r="AP341" i="26"/>
  <c r="W75" i="4"/>
  <c r="W75" i="2" s="1"/>
  <c r="AP332" i="26"/>
  <c r="AP344" i="26" s="1"/>
  <c r="AK289" i="26"/>
  <c r="AK325" i="26" s="1"/>
  <c r="AK322" i="26"/>
  <c r="AG132" i="26"/>
  <c r="BA132" i="26" s="1"/>
  <c r="AG141" i="26"/>
  <c r="K40" i="4"/>
  <c r="BA66" i="26"/>
  <c r="T84" i="26"/>
  <c r="T54" i="26"/>
  <c r="P90" i="8"/>
  <c r="H11" i="20"/>
  <c r="V76" i="9" s="1"/>
  <c r="AV319" i="26"/>
  <c r="AV322" i="26"/>
  <c r="AO48" i="26"/>
  <c r="AO54" i="26" s="1"/>
  <c r="V15" i="4"/>
  <c r="AO51" i="26"/>
  <c r="AC14" i="4"/>
  <c r="AC14" i="2" s="1"/>
  <c r="AV36" i="26"/>
  <c r="T14" i="4"/>
  <c r="AM36" i="26"/>
  <c r="Q85" i="10"/>
  <c r="Q16" i="2"/>
  <c r="Q86" i="2" s="1"/>
  <c r="R88" i="11"/>
  <c r="R61" i="2"/>
  <c r="L61" i="2"/>
  <c r="L81" i="11"/>
  <c r="L79" i="11" s="1"/>
  <c r="L82" i="11" s="1"/>
  <c r="Z85" i="4"/>
  <c r="Z40" i="2"/>
  <c r="J226" i="26"/>
  <c r="AB90" i="8"/>
  <c r="AZ150" i="26"/>
  <c r="AZ234" i="26" s="1"/>
  <c r="AG44" i="4"/>
  <c r="AG44" i="2" s="1"/>
  <c r="AZ231" i="26"/>
  <c r="AC51" i="26"/>
  <c r="AC347" i="26"/>
  <c r="J15" i="4"/>
  <c r="AJ48" i="26"/>
  <c r="AJ54" i="26" s="1"/>
  <c r="AJ51" i="26"/>
  <c r="AQ42" i="26"/>
  <c r="AQ54" i="26" s="1"/>
  <c r="X15" i="4"/>
  <c r="AQ51" i="26"/>
  <c r="I347" i="26"/>
  <c r="I350" i="26" s="1"/>
  <c r="U86" i="11"/>
  <c r="U90" i="11" s="1"/>
  <c r="U60" i="2"/>
  <c r="U81" i="11"/>
  <c r="U79" i="11" s="1"/>
  <c r="U82" i="11" s="1"/>
  <c r="I88" i="7"/>
  <c r="AE88" i="7" s="1"/>
  <c r="AE85" i="7"/>
  <c r="I76" i="7"/>
  <c r="AE76" i="7" s="1"/>
  <c r="AE73" i="7"/>
  <c r="K287" i="7"/>
  <c r="AE287" i="7" s="1"/>
  <c r="AE284" i="7"/>
  <c r="K281" i="7"/>
  <c r="AE281" i="7" s="1"/>
  <c r="AE278" i="7"/>
  <c r="W28" i="7"/>
  <c r="W332" i="7"/>
  <c r="W335" i="7" s="1"/>
  <c r="K184" i="7"/>
  <c r="AE184" i="7" s="1"/>
  <c r="AE181" i="7"/>
  <c r="I190" i="7"/>
  <c r="AE190" i="7" s="1"/>
  <c r="AE187" i="7"/>
  <c r="I317" i="7"/>
  <c r="AE317" i="7" s="1"/>
  <c r="AE314" i="7"/>
  <c r="AG85" i="4"/>
  <c r="R90" i="10"/>
  <c r="M90" i="14"/>
  <c r="AB90" i="14"/>
  <c r="AI48" i="26"/>
  <c r="AI54" i="26" s="1"/>
  <c r="P15" i="4"/>
  <c r="AI51" i="26"/>
  <c r="AY42" i="26"/>
  <c r="AY54" i="26" s="1"/>
  <c r="AY51" i="26"/>
  <c r="AF15" i="4"/>
  <c r="AF15" i="2" s="1"/>
  <c r="AM138" i="26"/>
  <c r="BA138" i="26" s="1"/>
  <c r="AM141" i="26"/>
  <c r="AM347" i="26"/>
  <c r="AX301" i="26"/>
  <c r="AX325" i="26" s="1"/>
  <c r="AX322" i="26"/>
  <c r="AE74" i="4"/>
  <c r="AE74" i="2" s="1"/>
  <c r="L75" i="4"/>
  <c r="L75" i="2" s="1"/>
  <c r="AE338" i="26"/>
  <c r="AE344" i="26" s="1"/>
  <c r="AE341" i="26"/>
  <c r="AQ210" i="26"/>
  <c r="AQ234" i="26" s="1"/>
  <c r="X44" i="4"/>
  <c r="X44" i="2" s="1"/>
  <c r="AQ231" i="26"/>
  <c r="AT72" i="26"/>
  <c r="AT144" i="26" s="1"/>
  <c r="AT141" i="26"/>
  <c r="AA40" i="4"/>
  <c r="AA40" i="2" s="1"/>
  <c r="AG162" i="26"/>
  <c r="AG234" i="26" s="1"/>
  <c r="AG231" i="26"/>
  <c r="AB84" i="4"/>
  <c r="N75" i="4"/>
  <c r="N75" i="2" s="1"/>
  <c r="BA204" i="26"/>
  <c r="V87" i="5"/>
  <c r="V29" i="2"/>
  <c r="AI234" i="26"/>
  <c r="M60" i="2"/>
  <c r="AH60" i="11"/>
  <c r="AH86" i="11" s="1"/>
  <c r="M81" i="11"/>
  <c r="M79" i="11" s="1"/>
  <c r="M82" i="11" s="1"/>
  <c r="I228" i="26"/>
  <c r="AJ226" i="26"/>
  <c r="AJ228" i="26" s="1"/>
  <c r="AJ234" i="26" s="1"/>
  <c r="I232" i="26"/>
  <c r="I234" i="26" s="1"/>
  <c r="W15" i="9"/>
  <c r="V84" i="9"/>
  <c r="AE178" i="7"/>
  <c r="M64" i="7"/>
  <c r="AE64" i="7" s="1"/>
  <c r="AE61" i="7"/>
  <c r="I106" i="7"/>
  <c r="AE106" i="7" s="1"/>
  <c r="AE103" i="7"/>
  <c r="I299" i="7"/>
  <c r="AE299" i="7" s="1"/>
  <c r="AE296" i="7"/>
  <c r="K293" i="7"/>
  <c r="AE293" i="7" s="1"/>
  <c r="AE290" i="7"/>
  <c r="I21" i="7"/>
  <c r="I22" i="7" s="1"/>
  <c r="I332" i="7"/>
  <c r="I335" i="7" s="1"/>
  <c r="V60" i="2"/>
  <c r="W91" i="6"/>
  <c r="X91" i="6"/>
  <c r="AF90" i="10"/>
  <c r="T90" i="8"/>
  <c r="AS319" i="26"/>
  <c r="AS325" i="26" s="1"/>
  <c r="AS322" i="26"/>
  <c r="L42" i="26"/>
  <c r="T42" i="26" s="1"/>
  <c r="L347" i="26"/>
  <c r="AU48" i="26"/>
  <c r="AU54" i="26" s="1"/>
  <c r="AU51" i="26"/>
  <c r="Q58" i="13"/>
  <c r="R29" i="5" s="1"/>
  <c r="K58" i="13"/>
  <c r="L29" i="5" s="1"/>
  <c r="L29" i="2" s="1"/>
  <c r="R86" i="11"/>
  <c r="R81" i="11"/>
  <c r="R79" i="11" s="1"/>
  <c r="R82" i="11" s="1"/>
  <c r="R60" i="2"/>
  <c r="O85" i="4"/>
  <c r="O40" i="2"/>
  <c r="T87" i="5"/>
  <c r="T29" i="2"/>
  <c r="Q44" i="4"/>
  <c r="Q44" i="2" s="1"/>
  <c r="K347" i="26"/>
  <c r="AI231" i="26"/>
  <c r="O86" i="11"/>
  <c r="O90" i="11" s="1"/>
  <c r="O81" i="11"/>
  <c r="O79" i="11" s="1"/>
  <c r="O82" i="11" s="1"/>
  <c r="L84" i="8"/>
  <c r="L90" i="8" s="1"/>
  <c r="L81" i="8"/>
  <c r="L79" i="8" s="1"/>
  <c r="L82" i="8" s="1"/>
  <c r="K76" i="9"/>
  <c r="J86" i="9"/>
  <c r="J90" i="9" s="1"/>
  <c r="J76" i="2"/>
  <c r="AH76" i="2" s="1"/>
  <c r="J81" i="9"/>
  <c r="J79" i="9" s="1"/>
  <c r="J82" i="9" s="1"/>
  <c r="Q112" i="7"/>
  <c r="AE109" i="7"/>
  <c r="I220" i="7"/>
  <c r="I221" i="7"/>
  <c r="M208" i="7"/>
  <c r="AE208" i="7" s="1"/>
  <c r="AE205" i="7"/>
  <c r="I305" i="7"/>
  <c r="AE305" i="7" s="1"/>
  <c r="AE302" i="7"/>
  <c r="AE230" i="7"/>
  <c r="I233" i="7"/>
  <c r="AE233" i="7" s="1"/>
  <c r="Q21" i="7"/>
  <c r="Q22" i="7" s="1"/>
  <c r="Q332" i="7"/>
  <c r="BA346" i="26"/>
  <c r="T90" i="14"/>
  <c r="T289" i="26"/>
  <c r="T326" i="26" s="1"/>
  <c r="AN338" i="26"/>
  <c r="AN344" i="26" s="1"/>
  <c r="U75" i="4"/>
  <c r="U75" i="2" s="1"/>
  <c r="AN341" i="26"/>
  <c r="W87" i="4"/>
  <c r="W45" i="2"/>
  <c r="L14" i="4"/>
  <c r="AE36" i="26"/>
  <c r="T48" i="26"/>
  <c r="N64" i="2"/>
  <c r="N86" i="8"/>
  <c r="AO141" i="26"/>
  <c r="AJ231" i="26"/>
  <c r="P44" i="4"/>
  <c r="P44" i="2" s="1"/>
  <c r="K172" i="7"/>
  <c r="AE172" i="7" s="1"/>
  <c r="AE169" i="7"/>
  <c r="AE55" i="7"/>
  <c r="I58" i="7"/>
  <c r="AE58" i="7" s="1"/>
  <c r="I269" i="7"/>
  <c r="AE269" i="7" s="1"/>
  <c r="K270" i="7"/>
  <c r="AE266" i="7"/>
  <c r="M154" i="7"/>
  <c r="AE154" i="7" s="1"/>
  <c r="AE151" i="7"/>
  <c r="AE211" i="7"/>
  <c r="O21" i="7"/>
  <c r="O22" i="7" s="1"/>
  <c r="O332" i="7"/>
  <c r="V15" i="2"/>
  <c r="AJ78" i="26"/>
  <c r="AJ141" i="26"/>
  <c r="AE295" i="26"/>
  <c r="AE322" i="26"/>
  <c r="L74" i="4"/>
  <c r="L74" i="2" s="1"/>
  <c r="AG338" i="26"/>
  <c r="AG344" i="26" s="1"/>
  <c r="AG341" i="26"/>
  <c r="AN72" i="26"/>
  <c r="AN141" i="26"/>
  <c r="U40" i="4"/>
  <c r="U40" i="2" s="1"/>
  <c r="M84" i="4"/>
  <c r="M14" i="2"/>
  <c r="Q40" i="4"/>
  <c r="Q40" i="2" s="1"/>
  <c r="AK141" i="26"/>
  <c r="V40" i="4"/>
  <c r="V40" i="2" s="1"/>
  <c r="M61" i="19"/>
  <c r="L62" i="19"/>
  <c r="BA307" i="26"/>
  <c r="K166" i="7"/>
  <c r="AE166" i="7" s="1"/>
  <c r="AE163" i="7"/>
  <c r="I196" i="7"/>
  <c r="AE196" i="7" s="1"/>
  <c r="AE193" i="7"/>
  <c r="I28" i="7"/>
  <c r="AE25" i="7"/>
  <c r="O323" i="7"/>
  <c r="AE323" i="7" s="1"/>
  <c r="AE320" i="7"/>
  <c r="AE236" i="7"/>
  <c r="I239" i="7"/>
  <c r="AE239" i="7" s="1"/>
  <c r="I142" i="7"/>
  <c r="AE142" i="7" s="1"/>
  <c r="AE139" i="7"/>
  <c r="BA270" i="26"/>
  <c r="X90" i="8"/>
  <c r="L90" i="11"/>
  <c r="AS78" i="26"/>
  <c r="AS144" i="26" s="1"/>
  <c r="AS141" i="26"/>
  <c r="AG301" i="26"/>
  <c r="AG322" i="26"/>
  <c r="N74" i="4"/>
  <c r="N74" i="2" s="1"/>
  <c r="AQ301" i="26"/>
  <c r="X74" i="4"/>
  <c r="X74" i="2" s="1"/>
  <c r="AC174" i="26"/>
  <c r="AC231" i="26"/>
  <c r="AF276" i="26"/>
  <c r="AR54" i="26"/>
  <c r="AF234" i="26"/>
  <c r="N84" i="10"/>
  <c r="N90" i="10" s="1"/>
  <c r="N81" i="10"/>
  <c r="N79" i="10" s="1"/>
  <c r="N82" i="10" s="1"/>
  <c r="O61" i="2"/>
  <c r="M86" i="11"/>
  <c r="M90" i="11" s="1"/>
  <c r="I257" i="7"/>
  <c r="AE254" i="7"/>
  <c r="M34" i="7"/>
  <c r="AE34" i="7" s="1"/>
  <c r="AE31" i="7"/>
  <c r="K251" i="7"/>
  <c r="AE251" i="7" s="1"/>
  <c r="AE248" i="7"/>
  <c r="R81" i="9"/>
  <c r="S76" i="9"/>
  <c r="R86" i="9"/>
  <c r="R90" i="9" s="1"/>
  <c r="R76" i="2"/>
  <c r="I160" i="7"/>
  <c r="AE160" i="7" s="1"/>
  <c r="AE157" i="7"/>
  <c r="K28" i="7"/>
  <c r="K332" i="7"/>
  <c r="K46" i="7"/>
  <c r="AE46" i="7" s="1"/>
  <c r="AI16" i="4" s="1"/>
  <c r="AE43" i="7"/>
  <c r="AB14" i="2"/>
  <c r="AM144" i="26"/>
  <c r="BA338" i="26"/>
  <c r="BA156" i="26"/>
  <c r="AO319" i="26"/>
  <c r="V75" i="4"/>
  <c r="V75" i="2" s="1"/>
  <c r="AO322" i="26"/>
  <c r="AI273" i="26"/>
  <c r="AI252" i="26"/>
  <c r="P48" i="4"/>
  <c r="H108" i="26"/>
  <c r="T108" i="26" s="1"/>
  <c r="H347" i="26"/>
  <c r="H350" i="26" s="1"/>
  <c r="AO198" i="26"/>
  <c r="AO231" i="26"/>
  <c r="AE231" i="26"/>
  <c r="AE150" i="26"/>
  <c r="AE234" i="26" s="1"/>
  <c r="L44" i="4"/>
  <c r="L44" i="2" s="1"/>
  <c r="T40" i="4"/>
  <c r="T40" i="2" s="1"/>
  <c r="AR51" i="26"/>
  <c r="I126" i="26"/>
  <c r="AH124" i="26"/>
  <c r="N86" i="11"/>
  <c r="N90" i="11" s="1"/>
  <c r="N60" i="2"/>
  <c r="AR273" i="26"/>
  <c r="K70" i="7"/>
  <c r="AE70" i="7" s="1"/>
  <c r="AE67" i="7"/>
  <c r="I118" i="7"/>
  <c r="AE118" i="7" s="1"/>
  <c r="AE115" i="7"/>
  <c r="M100" i="7"/>
  <c r="AE100" i="7" s="1"/>
  <c r="AE97" i="7"/>
  <c r="AE133" i="7"/>
  <c r="M136" i="7"/>
  <c r="AE136" i="7" s="1"/>
  <c r="K148" i="7"/>
  <c r="AE148" i="7" s="1"/>
  <c r="AE145" i="7"/>
  <c r="M28" i="7"/>
  <c r="M332" i="7"/>
  <c r="I227" i="7"/>
  <c r="AE227" i="7" s="1"/>
  <c r="AE224" i="7"/>
  <c r="AA90" i="8"/>
  <c r="R90" i="11"/>
  <c r="BA150" i="26"/>
  <c r="S90" i="8"/>
  <c r="AN51" i="26"/>
  <c r="AN42" i="26"/>
  <c r="AN54" i="26" s="1"/>
  <c r="AF75" i="4"/>
  <c r="AF75" i="2" s="1"/>
  <c r="AY341" i="26"/>
  <c r="AY332" i="26"/>
  <c r="AL78" i="26"/>
  <c r="AL141" i="26"/>
  <c r="S40" i="4"/>
  <c r="S40" i="2" s="1"/>
  <c r="Q19" i="2"/>
  <c r="M85" i="10"/>
  <c r="M90" i="10" s="1"/>
  <c r="M81" i="10"/>
  <c r="M79" i="10" s="1"/>
  <c r="M82" i="10" s="1"/>
  <c r="AX347" i="26"/>
  <c r="Y19" i="4"/>
  <c r="Y19" i="2" s="1"/>
  <c r="K74" i="4"/>
  <c r="K74" i="2" s="1"/>
  <c r="AD289" i="26"/>
  <c r="AD325" i="26" s="1"/>
  <c r="AD322" i="26"/>
  <c r="K94" i="7"/>
  <c r="AE94" i="7" s="1"/>
  <c r="AE91" i="7"/>
  <c r="AE199" i="7"/>
  <c r="I202" i="7"/>
  <c r="AE202" i="7" s="1"/>
  <c r="Y245" i="7"/>
  <c r="Y331" i="7"/>
  <c r="M245" i="7"/>
  <c r="AE245" i="7" s="1"/>
  <c r="AE242" i="7"/>
  <c r="I124" i="7"/>
  <c r="AE124" i="7" s="1"/>
  <c r="AE121" i="7"/>
  <c r="I275" i="7"/>
  <c r="AE275" i="7" s="1"/>
  <c r="AE272" i="7"/>
  <c r="O91" i="6"/>
  <c r="Z81" i="4"/>
  <c r="Z79" i="4" s="1"/>
  <c r="Z15" i="2"/>
  <c r="Z84" i="4"/>
  <c r="Z90" i="4" s="1"/>
  <c r="B19" i="13"/>
  <c r="AM226" i="26"/>
  <c r="L348" i="26"/>
  <c r="L350" i="26" s="1"/>
  <c r="L228" i="26"/>
  <c r="L232" i="26"/>
  <c r="L234" i="26" s="1"/>
  <c r="L81" i="4"/>
  <c r="L79" i="4" s="1"/>
  <c r="L40" i="2"/>
  <c r="P82" i="2"/>
  <c r="P85" i="2"/>
  <c r="P91" i="2" s="1"/>
  <c r="S44" i="2"/>
  <c r="AC90" i="8"/>
  <c r="AE90" i="10"/>
  <c r="M78" i="26"/>
  <c r="T78" i="26" s="1"/>
  <c r="M347" i="26"/>
  <c r="M350" i="26" s="1"/>
  <c r="X14" i="4"/>
  <c r="AQ36" i="26"/>
  <c r="AQ350" i="26" s="1"/>
  <c r="AQ347" i="26"/>
  <c r="R15" i="4"/>
  <c r="R15" i="2" s="1"/>
  <c r="AK42" i="26"/>
  <c r="AK54" i="26" s="1"/>
  <c r="AK51" i="26"/>
  <c r="AU258" i="26"/>
  <c r="AU273" i="26"/>
  <c r="AB19" i="4"/>
  <c r="T44" i="2"/>
  <c r="W44" i="4"/>
  <c r="W44" i="2" s="1"/>
  <c r="AP231" i="26"/>
  <c r="AP222" i="26"/>
  <c r="AD85" i="4"/>
  <c r="J85" i="4"/>
  <c r="J40" i="2"/>
  <c r="AH40" i="2" s="1"/>
  <c r="J81" i="4"/>
  <c r="J79" i="4" s="1"/>
  <c r="AG348" i="26"/>
  <c r="N41" i="4"/>
  <c r="AG142" i="26"/>
  <c r="AG126" i="26"/>
  <c r="X75" i="2"/>
  <c r="AH75" i="4"/>
  <c r="U90" i="10"/>
  <c r="Y90" i="8"/>
  <c r="T90" i="10"/>
  <c r="Z61" i="19"/>
  <c r="Y62" i="19"/>
  <c r="K64" i="2"/>
  <c r="K86" i="8"/>
  <c r="AD90" i="8"/>
  <c r="U90" i="8"/>
  <c r="AF90" i="11"/>
  <c r="S85" i="10"/>
  <c r="S90" i="10" s="1"/>
  <c r="S16" i="2"/>
  <c r="S86" i="2" s="1"/>
  <c r="N87" i="5"/>
  <c r="N29" i="2"/>
  <c r="Z90" i="11"/>
  <c r="F19" i="15"/>
  <c r="F21" i="15" s="1"/>
  <c r="AD40" i="2"/>
  <c r="O431" i="7"/>
  <c r="O110" i="7" s="1"/>
  <c r="M431" i="7"/>
  <c r="M110" i="7" s="1"/>
  <c r="K431" i="7"/>
  <c r="K110" i="7" s="1"/>
  <c r="Y332" i="7"/>
  <c r="Y21" i="7"/>
  <c r="Y22" i="7" s="1"/>
  <c r="Z81" i="9"/>
  <c r="Z86" i="9"/>
  <c r="Z90" i="9" s="1"/>
  <c r="AA76" i="9"/>
  <c r="Z76" i="2"/>
  <c r="AA261" i="7"/>
  <c r="AA263" i="7" s="1"/>
  <c r="AA333" i="7"/>
  <c r="AA257" i="7"/>
  <c r="AH84" i="5"/>
  <c r="X85" i="4"/>
  <c r="X40" i="2"/>
  <c r="AD78" i="26"/>
  <c r="AD350" i="26" s="1"/>
  <c r="AD141" i="26"/>
  <c r="AD347" i="26"/>
  <c r="K14" i="2"/>
  <c r="K84" i="4"/>
  <c r="AV48" i="26"/>
  <c r="AV347" i="26"/>
  <c r="AV51" i="26"/>
  <c r="P85" i="4"/>
  <c r="P40" i="2"/>
  <c r="AE81" i="4"/>
  <c r="AE79" i="4" s="1"/>
  <c r="AE85" i="4"/>
  <c r="AE90" i="4" s="1"/>
  <c r="AP273" i="26"/>
  <c r="W19" i="4"/>
  <c r="AP258" i="26"/>
  <c r="M44" i="2"/>
  <c r="M81" i="4"/>
  <c r="M79" i="4" s="1"/>
  <c r="M85" i="4"/>
  <c r="AN276" i="26"/>
  <c r="BA240" i="26"/>
  <c r="O15" i="2"/>
  <c r="AF350" i="26"/>
  <c r="BA90" i="26"/>
  <c r="AQ325" i="26"/>
  <c r="BA313" i="26"/>
  <c r="AN350" i="26"/>
  <c r="S74" i="2"/>
  <c r="Z90" i="8"/>
  <c r="J90" i="11"/>
  <c r="O86" i="8"/>
  <c r="O90" i="8" s="1"/>
  <c r="O81" i="8"/>
  <c r="O79" i="8" s="1"/>
  <c r="O82" i="8" s="1"/>
  <c r="AH60" i="8"/>
  <c r="O60" i="2"/>
  <c r="M87" i="5"/>
  <c r="AG90" i="14"/>
  <c r="J86" i="8"/>
  <c r="J90" i="8" s="1"/>
  <c r="AH64" i="8"/>
  <c r="J81" i="8"/>
  <c r="J79" i="8" s="1"/>
  <c r="AV276" i="26"/>
  <c r="Y90" i="11"/>
  <c r="P87" i="5"/>
  <c r="P29" i="2"/>
  <c r="M393" i="7"/>
  <c r="M212" i="7" s="1"/>
  <c r="Q393" i="7"/>
  <c r="Q212" i="7" s="1"/>
  <c r="O393" i="7"/>
  <c r="S393" i="7"/>
  <c r="S212" i="7" s="1"/>
  <c r="F488" i="7"/>
  <c r="AK487" i="7"/>
  <c r="Q90" i="10"/>
  <c r="U21" i="7"/>
  <c r="U22" i="7" s="1"/>
  <c r="U332" i="7"/>
  <c r="U335" i="7" s="1"/>
  <c r="S81" i="10"/>
  <c r="AG40" i="2"/>
  <c r="K218" i="7"/>
  <c r="AE19" i="2"/>
  <c r="N79" i="9"/>
  <c r="N82" i="9" s="1"/>
  <c r="J18" i="10"/>
  <c r="AL29" i="18"/>
  <c r="O12" i="13"/>
  <c r="X90" i="11"/>
  <c r="W90" i="10"/>
  <c r="O84" i="4"/>
  <c r="O87" i="5"/>
  <c r="O29" i="2"/>
  <c r="P12" i="13"/>
  <c r="P11" i="13" s="1"/>
  <c r="N81" i="8"/>
  <c r="N79" i="8" s="1"/>
  <c r="N82" i="8" s="1"/>
  <c r="N84" i="8"/>
  <c r="N90" i="8" s="1"/>
  <c r="N14" i="2"/>
  <c r="AH14" i="8"/>
  <c r="K40" i="2"/>
  <c r="AD21" i="7"/>
  <c r="AD22" i="7" s="1"/>
  <c r="AD332" i="7"/>
  <c r="AD335" i="7" s="1"/>
  <c r="AC21" i="7"/>
  <c r="AC22" i="7" s="1"/>
  <c r="AC332" i="7"/>
  <c r="AC335" i="7" s="1"/>
  <c r="AC16" i="2"/>
  <c r="AC86" i="2" s="1"/>
  <c r="O82" i="2"/>
  <c r="O85" i="2"/>
  <c r="O91" i="2" s="1"/>
  <c r="AY84" i="26"/>
  <c r="AY141" i="26"/>
  <c r="AF40" i="4"/>
  <c r="AE114" i="26"/>
  <c r="AE144" i="26" s="1"/>
  <c r="AE347" i="26"/>
  <c r="AE141" i="26"/>
  <c r="AM54" i="26"/>
  <c r="U15" i="2"/>
  <c r="V14" i="4"/>
  <c r="AO347" i="26"/>
  <c r="AO36" i="26"/>
  <c r="AO350" i="26" s="1"/>
  <c r="U84" i="4"/>
  <c r="K463" i="26"/>
  <c r="K124" i="26" s="1"/>
  <c r="J463" i="26"/>
  <c r="J124" i="26" s="1"/>
  <c r="AS48" i="26"/>
  <c r="AS51" i="26"/>
  <c r="AS347" i="26"/>
  <c r="AD15" i="4"/>
  <c r="AW42" i="26"/>
  <c r="AW347" i="26"/>
  <c r="AW51" i="26"/>
  <c r="N15" i="4"/>
  <c r="AG51" i="26"/>
  <c r="AG347" i="26"/>
  <c r="AG42" i="26"/>
  <c r="BA349" i="26"/>
  <c r="AL51" i="26"/>
  <c r="AL48" i="26"/>
  <c r="AL54" i="26" s="1"/>
  <c r="S15" i="4"/>
  <c r="S15" i="2" s="1"/>
  <c r="AL231" i="26"/>
  <c r="AA19" i="2"/>
  <c r="AA85" i="4"/>
  <c r="R85" i="4"/>
  <c r="R19" i="2"/>
  <c r="Q90" i="11"/>
  <c r="AX350" i="26"/>
  <c r="U45" i="2"/>
  <c r="U87" i="4"/>
  <c r="AH33" i="5"/>
  <c r="L33" i="2"/>
  <c r="R90" i="8"/>
  <c r="V90" i="8"/>
  <c r="J90" i="14"/>
  <c r="AG90" i="11"/>
  <c r="Y90" i="10"/>
  <c r="K85" i="8"/>
  <c r="K90" i="8" s="1"/>
  <c r="K81" i="8"/>
  <c r="AH18" i="8"/>
  <c r="AH85" i="8" s="1"/>
  <c r="AH61" i="11"/>
  <c r="K81" i="11"/>
  <c r="K79" i="11" s="1"/>
  <c r="K61" i="2"/>
  <c r="Q29" i="2"/>
  <c r="Y40" i="2"/>
  <c r="AA21" i="7"/>
  <c r="AA22" i="7" s="1"/>
  <c r="AA332" i="7"/>
  <c r="AI64" i="4"/>
  <c r="AI28" i="4"/>
  <c r="AI53" i="4"/>
  <c r="AI24" i="4"/>
  <c r="AI52" i="4"/>
  <c r="AI36" i="4"/>
  <c r="AI77" i="4"/>
  <c r="AI74" i="4"/>
  <c r="AI75" i="4"/>
  <c r="AI60" i="4"/>
  <c r="AI48" i="4"/>
  <c r="AI49" i="4"/>
  <c r="AI65" i="4"/>
  <c r="AI20" i="4"/>
  <c r="Q221" i="7"/>
  <c r="O81" i="9"/>
  <c r="P76" i="9"/>
  <c r="O76" i="2"/>
  <c r="O86" i="9"/>
  <c r="O90" i="9" s="1"/>
  <c r="AK226" i="26"/>
  <c r="J228" i="26"/>
  <c r="J232" i="26"/>
  <c r="J234" i="26" s="1"/>
  <c r="U19" i="2"/>
  <c r="AE90" i="14"/>
  <c r="BA114" i="26"/>
  <c r="AC15" i="4"/>
  <c r="AC81" i="4" s="1"/>
  <c r="AC79" i="4" s="1"/>
  <c r="BA50" i="26"/>
  <c r="AY36" i="26"/>
  <c r="AF14" i="4"/>
  <c r="AY347" i="26"/>
  <c r="K226" i="26"/>
  <c r="BA230" i="26"/>
  <c r="N85" i="4"/>
  <c r="N40" i="2"/>
  <c r="AH78" i="4"/>
  <c r="AD87" i="4"/>
  <c r="BA274" i="26"/>
  <c r="V24" i="13"/>
  <c r="P57" i="13" s="1"/>
  <c r="T277" i="26"/>
  <c r="U33" i="2"/>
  <c r="U87" i="5"/>
  <c r="P81" i="10"/>
  <c r="P79" i="10" s="1"/>
  <c r="P82" i="10" s="1"/>
  <c r="P84" i="10"/>
  <c r="P90" i="10" s="1"/>
  <c r="AH14" i="10"/>
  <c r="AH84" i="10" s="1"/>
  <c r="S87" i="5"/>
  <c r="S29" i="2"/>
  <c r="Z90" i="10"/>
  <c r="AD90" i="14"/>
  <c r="V16" i="13"/>
  <c r="O41" i="13" s="1"/>
  <c r="O16" i="2"/>
  <c r="O86" i="2" s="1"/>
  <c r="O81" i="10"/>
  <c r="O79" i="10" s="1"/>
  <c r="O82" i="10" s="1"/>
  <c r="O85" i="10"/>
  <c r="O90" i="10" s="1"/>
  <c r="AD78" i="2"/>
  <c r="S21" i="7"/>
  <c r="S332" i="7"/>
  <c r="AE18" i="7"/>
  <c r="AI40" i="4"/>
  <c r="K18" i="2"/>
  <c r="O212" i="7"/>
  <c r="K214" i="7"/>
  <c r="Y333" i="7"/>
  <c r="Y261" i="7"/>
  <c r="AE261" i="7" s="1"/>
  <c r="Y257" i="7"/>
  <c r="AE257" i="7" s="1"/>
  <c r="AE255" i="7"/>
  <c r="L87" i="5"/>
  <c r="S90" i="11"/>
  <c r="R14" i="4"/>
  <c r="AK36" i="26"/>
  <c r="AK347" i="26"/>
  <c r="Q14" i="4"/>
  <c r="AJ36" i="26"/>
  <c r="AJ347" i="26"/>
  <c r="S14" i="4"/>
  <c r="AL36" i="26"/>
  <c r="AL347" i="26"/>
  <c r="Y14" i="4"/>
  <c r="AR36" i="26"/>
  <c r="AR350" i="26" s="1"/>
  <c r="AR347" i="26"/>
  <c r="AA14" i="4"/>
  <c r="AT36" i="26"/>
  <c r="AT350" i="26" s="1"/>
  <c r="AT347" i="26"/>
  <c r="AZ36" i="26"/>
  <c r="AZ350" i="26" s="1"/>
  <c r="AG14" i="4"/>
  <c r="AZ347" i="26"/>
  <c r="O36" i="26"/>
  <c r="O347" i="26"/>
  <c r="R36" i="26"/>
  <c r="R347" i="26"/>
  <c r="R350" i="26" s="1"/>
  <c r="S36" i="26"/>
  <c r="S347" i="26"/>
  <c r="S350" i="26" s="1"/>
  <c r="V44" i="2"/>
  <c r="V85" i="4"/>
  <c r="AH44" i="4"/>
  <c r="AC44" i="2"/>
  <c r="AC85" i="4"/>
  <c r="G26" i="20"/>
  <c r="F27" i="20"/>
  <c r="X20" i="19"/>
  <c r="Y20" i="19" s="1"/>
  <c r="Z20" i="19" s="1"/>
  <c r="AA20" i="19" s="1"/>
  <c r="I21" i="19"/>
  <c r="X21" i="19" s="1"/>
  <c r="Y21" i="19" s="1"/>
  <c r="Z21" i="19" s="1"/>
  <c r="AA21" i="19" s="1"/>
  <c r="R16" i="19"/>
  <c r="S16" i="19" s="1"/>
  <c r="T16" i="19" s="1"/>
  <c r="U16" i="19" s="1"/>
  <c r="V16" i="19" s="1"/>
  <c r="W16" i="19" s="1"/>
  <c r="H21" i="19"/>
  <c r="R21" i="19" s="1"/>
  <c r="S21" i="19" s="1"/>
  <c r="T21" i="19" s="1"/>
  <c r="U21" i="19" s="1"/>
  <c r="V21" i="19" s="1"/>
  <c r="W21" i="19" s="1"/>
  <c r="O16" i="19"/>
  <c r="P16" i="19" s="1"/>
  <c r="Q16" i="19" s="1"/>
  <c r="G21" i="19"/>
  <c r="O21" i="19" s="1"/>
  <c r="P21" i="19" s="1"/>
  <c r="Q21" i="19" s="1"/>
  <c r="AL36" i="18"/>
  <c r="L16" i="10"/>
  <c r="AL25" i="18"/>
  <c r="L64" i="10"/>
  <c r="X41" i="18"/>
  <c r="AL20" i="18"/>
  <c r="J64" i="10"/>
  <c r="R20" i="17"/>
  <c r="I40" i="7"/>
  <c r="AE37" i="7"/>
  <c r="I130" i="7"/>
  <c r="AE127" i="7"/>
  <c r="W221" i="7"/>
  <c r="W220" i="7"/>
  <c r="AE217" i="7"/>
  <c r="K263" i="7"/>
  <c r="AE260" i="7"/>
  <c r="I311" i="7"/>
  <c r="AE308" i="7"/>
  <c r="M329" i="7"/>
  <c r="AE326" i="7"/>
  <c r="AD76" i="9"/>
  <c r="J12" i="20"/>
  <c r="BA322" i="26" l="1"/>
  <c r="AH10" i="2"/>
  <c r="AH14" i="2"/>
  <c r="AH85" i="2" s="1"/>
  <c r="AH91" i="2" s="1"/>
  <c r="J85" i="2"/>
  <c r="J91" i="2" s="1"/>
  <c r="J82" i="2"/>
  <c r="AH82" i="2" s="1"/>
  <c r="K85" i="10"/>
  <c r="K90" i="10" s="1"/>
  <c r="K81" i="10"/>
  <c r="K79" i="10" s="1"/>
  <c r="K82" i="10" s="1"/>
  <c r="AU325" i="26"/>
  <c r="AH16" i="4"/>
  <c r="U85" i="4"/>
  <c r="U81" i="4"/>
  <c r="U79" i="4" s="1"/>
  <c r="BA231" i="26"/>
  <c r="W14" i="2"/>
  <c r="W84" i="4"/>
  <c r="AM325" i="26"/>
  <c r="Z85" i="2"/>
  <c r="Z91" i="2" s="1"/>
  <c r="Z82" i="2"/>
  <c r="BA273" i="26"/>
  <c r="AH74" i="4"/>
  <c r="T85" i="4"/>
  <c r="Q85" i="4"/>
  <c r="AV325" i="26"/>
  <c r="U82" i="2"/>
  <c r="U85" i="2"/>
  <c r="U91" i="2" s="1"/>
  <c r="AD85" i="2"/>
  <c r="AD91" i="2" s="1"/>
  <c r="AD82" i="2"/>
  <c r="BA51" i="26"/>
  <c r="AI19" i="4"/>
  <c r="AI44" i="4"/>
  <c r="T55" i="26"/>
  <c r="T84" i="4"/>
  <c r="T14" i="2"/>
  <c r="AC85" i="2"/>
  <c r="AC91" i="2" s="1"/>
  <c r="AC82" i="2"/>
  <c r="V81" i="9"/>
  <c r="V76" i="2"/>
  <c r="W76" i="9"/>
  <c r="V86" i="9"/>
  <c r="V90" i="9" s="1"/>
  <c r="AA335" i="7"/>
  <c r="M90" i="4"/>
  <c r="BA289" i="26"/>
  <c r="L85" i="4"/>
  <c r="AB85" i="2"/>
  <c r="AB91" i="2" s="1"/>
  <c r="AB82" i="2"/>
  <c r="M85" i="2"/>
  <c r="M91" i="2" s="1"/>
  <c r="M82" i="2"/>
  <c r="BA341" i="26"/>
  <c r="J84" i="4"/>
  <c r="J15" i="2"/>
  <c r="AH15" i="2" s="1"/>
  <c r="S76" i="2"/>
  <c r="S81" i="9"/>
  <c r="S79" i="9" s="1"/>
  <c r="S82" i="9" s="1"/>
  <c r="S86" i="9"/>
  <c r="S90" i="9" s="1"/>
  <c r="T76" i="9"/>
  <c r="BA174" i="26"/>
  <c r="AC234" i="26"/>
  <c r="BA295" i="26"/>
  <c r="AE325" i="26"/>
  <c r="AE312" i="7"/>
  <c r="AF331" i="7"/>
  <c r="Y339" i="7"/>
  <c r="AE331" i="7"/>
  <c r="AH126" i="26"/>
  <c r="AH348" i="26"/>
  <c r="AH142" i="26"/>
  <c r="O41" i="4"/>
  <c r="AO234" i="26"/>
  <c r="BA198" i="26"/>
  <c r="AO325" i="26"/>
  <c r="BA319" i="26"/>
  <c r="R79" i="9"/>
  <c r="R82" i="9" s="1"/>
  <c r="R94" i="2" s="1"/>
  <c r="R93" i="2"/>
  <c r="R95" i="2" s="1"/>
  <c r="AE330" i="7"/>
  <c r="L64" i="19"/>
  <c r="M62" i="19"/>
  <c r="L76" i="9"/>
  <c r="K81" i="9"/>
  <c r="K79" i="9" s="1"/>
  <c r="K82" i="9" s="1"/>
  <c r="K76" i="2"/>
  <c r="K86" i="9"/>
  <c r="K90" i="9" s="1"/>
  <c r="R29" i="2"/>
  <c r="R87" i="5"/>
  <c r="AC350" i="26"/>
  <c r="U90" i="4"/>
  <c r="W15" i="2"/>
  <c r="W84" i="9"/>
  <c r="X15" i="9"/>
  <c r="BA210" i="26"/>
  <c r="S85" i="4"/>
  <c r="AY344" i="26"/>
  <c r="BA344" i="26" s="1"/>
  <c r="BA332" i="26"/>
  <c r="AE28" i="7"/>
  <c r="AE41" i="7" s="1"/>
  <c r="BA72" i="26"/>
  <c r="AN144" i="26"/>
  <c r="AE350" i="26"/>
  <c r="P86" i="4"/>
  <c r="AH48" i="4"/>
  <c r="AH86" i="4" s="1"/>
  <c r="P48" i="2"/>
  <c r="L84" i="4"/>
  <c r="L14" i="2"/>
  <c r="AJ232" i="26"/>
  <c r="Q45" i="4"/>
  <c r="Q45" i="2" s="1"/>
  <c r="AI276" i="26"/>
  <c r="BA252" i="26"/>
  <c r="AG325" i="26"/>
  <c r="BA301" i="26"/>
  <c r="P84" i="4"/>
  <c r="P15" i="2"/>
  <c r="K85" i="4"/>
  <c r="K90" i="4" s="1"/>
  <c r="AH40" i="4"/>
  <c r="K81" i="4"/>
  <c r="K79" i="4" s="1"/>
  <c r="K97" i="2" s="1"/>
  <c r="J90" i="4"/>
  <c r="Y85" i="4"/>
  <c r="AH29" i="5"/>
  <c r="AH87" i="5" s="1"/>
  <c r="BA162" i="26"/>
  <c r="Q214" i="7"/>
  <c r="Q333" i="7"/>
  <c r="Q335" i="7" s="1"/>
  <c r="Q218" i="7"/>
  <c r="Q220" i="7" s="1"/>
  <c r="M214" i="7"/>
  <c r="M218" i="7"/>
  <c r="M220" i="7" s="1"/>
  <c r="AE212" i="7"/>
  <c r="M112" i="7"/>
  <c r="M128" i="7"/>
  <c r="M130" i="7" s="1"/>
  <c r="M333" i="7"/>
  <c r="M335" i="7" s="1"/>
  <c r="AE110" i="7"/>
  <c r="O112" i="7"/>
  <c r="O128" i="7"/>
  <c r="O130" i="7" s="1"/>
  <c r="O333" i="7"/>
  <c r="O335" i="7" s="1"/>
  <c r="V84" i="4"/>
  <c r="V14" i="2"/>
  <c r="BA258" i="26"/>
  <c r="AP276" i="26"/>
  <c r="AW54" i="26"/>
  <c r="AW350" i="26"/>
  <c r="S79" i="10"/>
  <c r="S82" i="10" s="1"/>
  <c r="S94" i="2" s="1"/>
  <c r="S93" i="2"/>
  <c r="S95" i="2" s="1"/>
  <c r="J97" i="2"/>
  <c r="J82" i="4"/>
  <c r="L97" i="2"/>
  <c r="L82" i="4"/>
  <c r="AE332" i="7"/>
  <c r="AF332" i="7"/>
  <c r="AY350" i="26"/>
  <c r="AD84" i="4"/>
  <c r="AD90" i="4" s="1"/>
  <c r="AD81" i="4"/>
  <c r="AD79" i="4" s="1"/>
  <c r="AD15" i="2"/>
  <c r="K126" i="26"/>
  <c r="AK124" i="26"/>
  <c r="K348" i="26"/>
  <c r="K350" i="26" s="1"/>
  <c r="AL124" i="26"/>
  <c r="K142" i="26"/>
  <c r="K144" i="26" s="1"/>
  <c r="U82" i="4"/>
  <c r="U97" i="2"/>
  <c r="AH81" i="8"/>
  <c r="AH84" i="8"/>
  <c r="O11" i="13"/>
  <c r="I11" i="13" s="1"/>
  <c r="I12" i="13"/>
  <c r="F489" i="7"/>
  <c r="AK488" i="7"/>
  <c r="AK489" i="7" s="1"/>
  <c r="K82" i="2"/>
  <c r="K85" i="2"/>
  <c r="K91" i="2" s="1"/>
  <c r="BA78" i="26"/>
  <c r="AD144" i="26"/>
  <c r="AA76" i="2"/>
  <c r="AB76" i="9"/>
  <c r="AA86" i="9"/>
  <c r="AA90" i="9" s="1"/>
  <c r="AA81" i="9"/>
  <c r="K333" i="7"/>
  <c r="K128" i="7"/>
  <c r="K112" i="7"/>
  <c r="Z62" i="19"/>
  <c r="Y64" i="19"/>
  <c r="Z64" i="19" s="1"/>
  <c r="W18" i="13"/>
  <c r="I54" i="13" s="1"/>
  <c r="AG144" i="26"/>
  <c r="BA222" i="26"/>
  <c r="AP234" i="26"/>
  <c r="AP350" i="26"/>
  <c r="X84" i="4"/>
  <c r="X90" i="4" s="1"/>
  <c r="X81" i="4"/>
  <c r="X79" i="4" s="1"/>
  <c r="X14" i="2"/>
  <c r="BA84" i="26"/>
  <c r="AY144" i="26"/>
  <c r="AH86" i="8"/>
  <c r="BA141" i="26"/>
  <c r="V81" i="4"/>
  <c r="V79" i="4" s="1"/>
  <c r="V90" i="4"/>
  <c r="AI78" i="4"/>
  <c r="AE264" i="7"/>
  <c r="O218" i="7"/>
  <c r="O220" i="7" s="1"/>
  <c r="O214" i="7"/>
  <c r="S22" i="7"/>
  <c r="AE21" i="7"/>
  <c r="AI14" i="4" s="1"/>
  <c r="U57" i="13"/>
  <c r="Q57" i="13"/>
  <c r="R57" i="13"/>
  <c r="K57" i="13"/>
  <c r="L57" i="13"/>
  <c r="S57" i="13"/>
  <c r="O57" i="13"/>
  <c r="T57" i="13"/>
  <c r="N57" i="13"/>
  <c r="M57" i="13"/>
  <c r="K82" i="11"/>
  <c r="AH82" i="11" s="1"/>
  <c r="AH79" i="11"/>
  <c r="AH15" i="4"/>
  <c r="N81" i="4"/>
  <c r="N79" i="4" s="1"/>
  <c r="N84" i="4"/>
  <c r="N15" i="2"/>
  <c r="AF40" i="2"/>
  <c r="AF85" i="4"/>
  <c r="N85" i="2"/>
  <c r="N91" i="2" s="1"/>
  <c r="N82" i="2"/>
  <c r="N93" i="2"/>
  <c r="N95" i="2" s="1"/>
  <c r="K220" i="7"/>
  <c r="S214" i="7"/>
  <c r="S333" i="7"/>
  <c r="S335" i="7" s="1"/>
  <c r="S218" i="7"/>
  <c r="S220" i="7" s="1"/>
  <c r="M97" i="2"/>
  <c r="M82" i="4"/>
  <c r="AB81" i="4"/>
  <c r="AB79" i="4" s="1"/>
  <c r="AB19" i="2"/>
  <c r="AB85" i="4"/>
  <c r="AB90" i="4" s="1"/>
  <c r="AM348" i="26"/>
  <c r="AM232" i="26"/>
  <c r="T45" i="4"/>
  <c r="AM228" i="26"/>
  <c r="AG54" i="26"/>
  <c r="BA42" i="26"/>
  <c r="AG350" i="26"/>
  <c r="AS350" i="26"/>
  <c r="AS54" i="26"/>
  <c r="J85" i="10"/>
  <c r="AH18" i="10"/>
  <c r="J18" i="2"/>
  <c r="AH18" i="2" s="1"/>
  <c r="AF84" i="4"/>
  <c r="AF14" i="2"/>
  <c r="AF81" i="4"/>
  <c r="AF79" i="4" s="1"/>
  <c r="AK232" i="26"/>
  <c r="AK228" i="26"/>
  <c r="R45" i="4"/>
  <c r="O79" i="9"/>
  <c r="O82" i="9" s="1"/>
  <c r="O94" i="2" s="1"/>
  <c r="O93" i="2"/>
  <c r="O95" i="2" s="1"/>
  <c r="K79" i="8"/>
  <c r="K82" i="8" s="1"/>
  <c r="K93" i="2"/>
  <c r="K95" i="2" s="1"/>
  <c r="J348" i="26"/>
  <c r="AI124" i="26"/>
  <c r="J126" i="26"/>
  <c r="T126" i="26" s="1"/>
  <c r="AJ124" i="26"/>
  <c r="J142" i="26"/>
  <c r="J144" i="26" s="1"/>
  <c r="W85" i="4"/>
  <c r="W81" i="4"/>
  <c r="W79" i="4" s="1"/>
  <c r="W19" i="2"/>
  <c r="Y335" i="7"/>
  <c r="AL41" i="18"/>
  <c r="N41" i="13"/>
  <c r="R41" i="13"/>
  <c r="W17" i="13"/>
  <c r="I53" i="13" s="1"/>
  <c r="W20" i="13"/>
  <c r="I55" i="13" s="1"/>
  <c r="M41" i="13"/>
  <c r="L41" i="13"/>
  <c r="K41" i="13"/>
  <c r="Q41" i="13"/>
  <c r="P41" i="13"/>
  <c r="W22" i="13"/>
  <c r="I56" i="13" s="1"/>
  <c r="K232" i="26"/>
  <c r="K234" i="26" s="1"/>
  <c r="T234" i="26" s="1"/>
  <c r="K228" i="26"/>
  <c r="T228" i="26" s="1"/>
  <c r="T235" i="26" s="1"/>
  <c r="AL226" i="26"/>
  <c r="AC84" i="4"/>
  <c r="AC90" i="4" s="1"/>
  <c r="AC15" i="2"/>
  <c r="AH81" i="11"/>
  <c r="AH88" i="11"/>
  <c r="AH90" i="11" s="1"/>
  <c r="AH19" i="4"/>
  <c r="AH85" i="4" s="1"/>
  <c r="Y263" i="7"/>
  <c r="AE263" i="7" s="1"/>
  <c r="N94" i="2"/>
  <c r="J82" i="8"/>
  <c r="AH82" i="8" s="1"/>
  <c r="AH79" i="8"/>
  <c r="AE82" i="4"/>
  <c r="AE97" i="2"/>
  <c r="BA48" i="26"/>
  <c r="Z93" i="2"/>
  <c r="Z95" i="2" s="1"/>
  <c r="Z79" i="9"/>
  <c r="Z82" i="9" s="1"/>
  <c r="Z94" i="2" s="1"/>
  <c r="N87" i="4"/>
  <c r="N41" i="2"/>
  <c r="T145" i="26"/>
  <c r="Q76" i="9"/>
  <c r="P81" i="9"/>
  <c r="P86" i="9"/>
  <c r="P90" i="9" s="1"/>
  <c r="P76" i="2"/>
  <c r="AV54" i="26"/>
  <c r="AV350" i="26"/>
  <c r="AU276" i="26"/>
  <c r="AU350" i="26"/>
  <c r="Z97" i="2"/>
  <c r="Z82" i="4"/>
  <c r="AE76" i="9"/>
  <c r="AD76" i="2"/>
  <c r="AD86" i="9"/>
  <c r="AD90" i="9" s="1"/>
  <c r="AD81" i="9"/>
  <c r="M340" i="7"/>
  <c r="AE329" i="7"/>
  <c r="I340" i="7"/>
  <c r="AE311" i="7"/>
  <c r="I41" i="7"/>
  <c r="AE40" i="7"/>
  <c r="J86" i="10"/>
  <c r="J64" i="2"/>
  <c r="AH64" i="2" s="1"/>
  <c r="AH64" i="10"/>
  <c r="AH86" i="10" s="1"/>
  <c r="J81" i="10"/>
  <c r="L86" i="10"/>
  <c r="L64" i="2"/>
  <c r="L85" i="10"/>
  <c r="AH16" i="10"/>
  <c r="L81" i="10"/>
  <c r="L16" i="2"/>
  <c r="L86" i="2" s="1"/>
  <c r="G27" i="20"/>
  <c r="H26" i="20"/>
  <c r="AC82" i="4"/>
  <c r="AC97" i="2"/>
  <c r="V97" i="2"/>
  <c r="V82" i="4"/>
  <c r="O350" i="26"/>
  <c r="U347" i="26"/>
  <c r="T36" i="26"/>
  <c r="T37" i="26" s="1"/>
  <c r="AG84" i="4"/>
  <c r="AG90" i="4" s="1"/>
  <c r="AG14" i="2"/>
  <c r="AG81" i="4"/>
  <c r="AG79" i="4" s="1"/>
  <c r="AA84" i="4"/>
  <c r="AA90" i="4" s="1"/>
  <c r="AA81" i="4"/>
  <c r="AA79" i="4" s="1"/>
  <c r="AA14" i="2"/>
  <c r="Y84" i="4"/>
  <c r="Y90" i="4" s="1"/>
  <c r="Y81" i="4"/>
  <c r="Y79" i="4" s="1"/>
  <c r="Y14" i="2"/>
  <c r="S84" i="4"/>
  <c r="S14" i="2"/>
  <c r="BA347" i="26"/>
  <c r="BA36" i="26"/>
  <c r="AH14" i="4"/>
  <c r="Q84" i="4"/>
  <c r="Q14" i="2"/>
  <c r="R84" i="4"/>
  <c r="R14" i="2"/>
  <c r="W85" i="2" l="1"/>
  <c r="W91" i="2" s="1"/>
  <c r="W82" i="2"/>
  <c r="AF90" i="4"/>
  <c r="K82" i="4"/>
  <c r="W90" i="4"/>
  <c r="J90" i="10"/>
  <c r="BA325" i="26"/>
  <c r="W81" i="9"/>
  <c r="W76" i="2"/>
  <c r="W86" i="9"/>
  <c r="W90" i="9" s="1"/>
  <c r="X76" i="9"/>
  <c r="V79" i="9"/>
  <c r="V82" i="9" s="1"/>
  <c r="V94" i="2" s="1"/>
  <c r="V93" i="2"/>
  <c r="V95" i="2" s="1"/>
  <c r="T85" i="2"/>
  <c r="T91" i="2" s="1"/>
  <c r="T82" i="2"/>
  <c r="L81" i="9"/>
  <c r="L79" i="9" s="1"/>
  <c r="L82" i="9" s="1"/>
  <c r="L86" i="9"/>
  <c r="L90" i="9" s="1"/>
  <c r="M76" i="9"/>
  <c r="L76" i="2"/>
  <c r="M64" i="19"/>
  <c r="L65" i="19"/>
  <c r="O41" i="2"/>
  <c r="O81" i="4"/>
  <c r="O79" i="4" s="1"/>
  <c r="O87" i="4"/>
  <c r="O90" i="4" s="1"/>
  <c r="L90" i="4"/>
  <c r="AE220" i="7"/>
  <c r="AE214" i="7"/>
  <c r="X15" i="2"/>
  <c r="AH144" i="26"/>
  <c r="AH350" i="26"/>
  <c r="K94" i="2"/>
  <c r="AH90" i="8"/>
  <c r="L85" i="2"/>
  <c r="L91" i="2" s="1"/>
  <c r="L82" i="2"/>
  <c r="Y15" i="9"/>
  <c r="X84" i="9"/>
  <c r="AE112" i="7"/>
  <c r="T81" i="9"/>
  <c r="T86" i="9"/>
  <c r="T90" i="9" s="1"/>
  <c r="U76" i="9"/>
  <c r="T76" i="2"/>
  <c r="T45" i="2"/>
  <c r="T87" i="4"/>
  <c r="T90" i="4" s="1"/>
  <c r="T81" i="4"/>
  <c r="T79" i="4" s="1"/>
  <c r="AB97" i="2"/>
  <c r="AB82" i="4"/>
  <c r="AE218" i="7"/>
  <c r="X82" i="4"/>
  <c r="X97" i="2"/>
  <c r="AB76" i="2"/>
  <c r="AB81" i="9"/>
  <c r="AB86" i="9"/>
  <c r="AB90" i="9" s="1"/>
  <c r="AC76" i="9"/>
  <c r="S41" i="4"/>
  <c r="AL348" i="26"/>
  <c r="AL142" i="26"/>
  <c r="AL126" i="26"/>
  <c r="AD82" i="4"/>
  <c r="AD97" i="2"/>
  <c r="W97" i="2"/>
  <c r="W82" i="4"/>
  <c r="AF85" i="2"/>
  <c r="AF91" i="2" s="1"/>
  <c r="AF82" i="2"/>
  <c r="AM350" i="26"/>
  <c r="AM234" i="26"/>
  <c r="N97" i="2"/>
  <c r="N82" i="4"/>
  <c r="X85" i="2"/>
  <c r="X91" i="2" s="1"/>
  <c r="X82" i="2"/>
  <c r="R45" i="2"/>
  <c r="T144" i="26"/>
  <c r="AK234" i="26"/>
  <c r="AE128" i="7"/>
  <c r="K130" i="7"/>
  <c r="AE130" i="7" s="1"/>
  <c r="Q86" i="9"/>
  <c r="Q90" i="9" s="1"/>
  <c r="Q76" i="2"/>
  <c r="Q81" i="9"/>
  <c r="V82" i="2"/>
  <c r="V85" i="2"/>
  <c r="V91" i="2" s="1"/>
  <c r="AI41" i="4"/>
  <c r="AE131" i="7"/>
  <c r="AL232" i="26"/>
  <c r="BA232" i="26" s="1"/>
  <c r="S45" i="4"/>
  <c r="S45" i="2" s="1"/>
  <c r="AL228" i="26"/>
  <c r="AL234" i="26" s="1"/>
  <c r="S53" i="13"/>
  <c r="N53" i="13"/>
  <c r="L53" i="13"/>
  <c r="U53" i="13"/>
  <c r="R53" i="13"/>
  <c r="T53" i="13"/>
  <c r="M53" i="13"/>
  <c r="O53" i="13"/>
  <c r="Q53" i="13"/>
  <c r="K53" i="13"/>
  <c r="P53" i="13"/>
  <c r="J73" i="13"/>
  <c r="J74" i="13" s="1"/>
  <c r="J350" i="26"/>
  <c r="U348" i="26"/>
  <c r="Q41" i="4"/>
  <c r="AJ142" i="26"/>
  <c r="AJ126" i="26"/>
  <c r="AJ348" i="26"/>
  <c r="N54" i="13"/>
  <c r="M54" i="13"/>
  <c r="L54" i="13"/>
  <c r="U54" i="13"/>
  <c r="O54" i="13"/>
  <c r="R54" i="13"/>
  <c r="S54" i="13"/>
  <c r="T54" i="13"/>
  <c r="K54" i="13"/>
  <c r="Q54" i="13"/>
  <c r="P54" i="13"/>
  <c r="K335" i="7"/>
  <c r="AF333" i="7"/>
  <c r="AE333" i="7"/>
  <c r="AK142" i="26"/>
  <c r="AK126" i="26"/>
  <c r="R41" i="4"/>
  <c r="AK348" i="26"/>
  <c r="BA276" i="26"/>
  <c r="Q55" i="13"/>
  <c r="N55" i="13"/>
  <c r="T55" i="13"/>
  <c r="M55" i="13"/>
  <c r="S55" i="13"/>
  <c r="K55" i="13"/>
  <c r="O55" i="13"/>
  <c r="R55" i="13"/>
  <c r="P55" i="13"/>
  <c r="U55" i="13"/>
  <c r="L55" i="13"/>
  <c r="P41" i="4"/>
  <c r="AI348" i="26"/>
  <c r="AI142" i="26"/>
  <c r="AI126" i="26"/>
  <c r="L90" i="10"/>
  <c r="Z80" i="2"/>
  <c r="Z83" i="2" s="1"/>
  <c r="P93" i="2"/>
  <c r="P95" i="2" s="1"/>
  <c r="P79" i="9"/>
  <c r="P82" i="9" s="1"/>
  <c r="P94" i="2" s="1"/>
  <c r="L56" i="13"/>
  <c r="T56" i="13"/>
  <c r="R56" i="13"/>
  <c r="S56" i="13"/>
  <c r="O56" i="13"/>
  <c r="N56" i="13"/>
  <c r="K56" i="13"/>
  <c r="U56" i="13"/>
  <c r="P56" i="13"/>
  <c r="M56" i="13"/>
  <c r="Q56" i="13"/>
  <c r="AF82" i="4"/>
  <c r="AF97" i="2"/>
  <c r="BA54" i="26"/>
  <c r="K80" i="2"/>
  <c r="K83" i="2" s="1"/>
  <c r="N90" i="4"/>
  <c r="AA79" i="9"/>
  <c r="AA82" i="9" s="1"/>
  <c r="AA94" i="2" s="1"/>
  <c r="AA93" i="2"/>
  <c r="AA95" i="2" s="1"/>
  <c r="AI45" i="4"/>
  <c r="AE221" i="7"/>
  <c r="AG336" i="7" s="1"/>
  <c r="R82" i="2"/>
  <c r="R85" i="2"/>
  <c r="R91" i="2" s="1"/>
  <c r="Q82" i="2"/>
  <c r="Q85" i="2"/>
  <c r="Q91" i="2" s="1"/>
  <c r="AH84" i="4"/>
  <c r="S82" i="2"/>
  <c r="S85" i="2"/>
  <c r="S91" i="2" s="1"/>
  <c r="Y82" i="2"/>
  <c r="Y85" i="2"/>
  <c r="Y91" i="2" s="1"/>
  <c r="Y97" i="2"/>
  <c r="Y82" i="4"/>
  <c r="AA85" i="2"/>
  <c r="AA91" i="2" s="1"/>
  <c r="AA82" i="2"/>
  <c r="AA97" i="2"/>
  <c r="AA82" i="4"/>
  <c r="AG97" i="2"/>
  <c r="AG82" i="4"/>
  <c r="AG85" i="2"/>
  <c r="AG91" i="2" s="1"/>
  <c r="AG82" i="2"/>
  <c r="U350" i="26"/>
  <c r="J371" i="26" s="1"/>
  <c r="K371" i="26" s="1"/>
  <c r="J372" i="26"/>
  <c r="K372" i="26" s="1"/>
  <c r="H27" i="20"/>
  <c r="I26" i="20"/>
  <c r="L79" i="10"/>
  <c r="L82" i="10" s="1"/>
  <c r="L93" i="2"/>
  <c r="L95" i="2" s="1"/>
  <c r="AH85" i="10"/>
  <c r="AH90" i="10" s="1"/>
  <c r="AH81" i="10"/>
  <c r="J79" i="10"/>
  <c r="J93" i="2"/>
  <c r="J95" i="2" s="1"/>
  <c r="AD79" i="9"/>
  <c r="AD93" i="2"/>
  <c r="AD95" i="2" s="1"/>
  <c r="AF76" i="9"/>
  <c r="AE86" i="9"/>
  <c r="AE90" i="9" s="1"/>
  <c r="AE76" i="2"/>
  <c r="AE81" i="9"/>
  <c r="X81" i="9" l="1"/>
  <c r="X76" i="2"/>
  <c r="Y76" i="9"/>
  <c r="X86" i="9"/>
  <c r="X90" i="9" s="1"/>
  <c r="W79" i="9"/>
  <c r="W93" i="2"/>
  <c r="W95" i="2" s="1"/>
  <c r="BA234" i="26"/>
  <c r="L94" i="2"/>
  <c r="BA348" i="26"/>
  <c r="AH45" i="4"/>
  <c r="Y84" i="9"/>
  <c r="Y15" i="2"/>
  <c r="J370" i="26"/>
  <c r="K370" i="26" s="1"/>
  <c r="M86" i="9"/>
  <c r="M90" i="9" s="1"/>
  <c r="M81" i="9"/>
  <c r="M76" i="2"/>
  <c r="U86" i="9"/>
  <c r="U90" i="9" s="1"/>
  <c r="U76" i="2"/>
  <c r="U81" i="9"/>
  <c r="J369" i="26"/>
  <c r="K369" i="26" s="1"/>
  <c r="J373" i="26"/>
  <c r="K373" i="26" s="1"/>
  <c r="T79" i="9"/>
  <c r="T82" i="9" s="1"/>
  <c r="T94" i="2" s="1"/>
  <c r="T93" i="2"/>
  <c r="T95" i="2" s="1"/>
  <c r="O82" i="4"/>
  <c r="O97" i="2"/>
  <c r="AH15" i="9"/>
  <c r="AH84" i="9" s="1"/>
  <c r="AF335" i="7"/>
  <c r="M350" i="7" s="1"/>
  <c r="O350" i="7" s="1"/>
  <c r="AE335" i="7"/>
  <c r="M358" i="7"/>
  <c r="O358" i="7" s="1"/>
  <c r="M356" i="7"/>
  <c r="O356" i="7" s="1"/>
  <c r="I341" i="7"/>
  <c r="M71" i="13"/>
  <c r="N28" i="5"/>
  <c r="M49" i="13"/>
  <c r="M48" i="13" s="1"/>
  <c r="R87" i="4"/>
  <c r="R90" i="4" s="1"/>
  <c r="R41" i="2"/>
  <c r="R81" i="4"/>
  <c r="R79" i="4" s="1"/>
  <c r="P28" i="5"/>
  <c r="O71" i="13"/>
  <c r="O49" i="13"/>
  <c r="O48" i="13" s="1"/>
  <c r="L71" i="13"/>
  <c r="L49" i="13"/>
  <c r="L48" i="13" s="1"/>
  <c r="M28" i="5"/>
  <c r="Q79" i="9"/>
  <c r="Q82" i="9" s="1"/>
  <c r="Q94" i="2" s="1"/>
  <c r="Q93" i="2"/>
  <c r="Q95" i="2" s="1"/>
  <c r="AL144" i="26"/>
  <c r="AL350" i="26"/>
  <c r="AA80" i="2"/>
  <c r="AA83" i="2" s="1"/>
  <c r="Q28" i="5"/>
  <c r="P71" i="13"/>
  <c r="P49" i="13"/>
  <c r="P48" i="13" s="1"/>
  <c r="T49" i="13"/>
  <c r="T48" i="13" s="1"/>
  <c r="U28" i="5"/>
  <c r="T71" i="13"/>
  <c r="U79" i="5" s="1"/>
  <c r="T28" i="5"/>
  <c r="S49" i="13"/>
  <c r="S48" i="13" s="1"/>
  <c r="S71" i="13"/>
  <c r="T79" i="5" s="1"/>
  <c r="BA228" i="26"/>
  <c r="T97" i="2"/>
  <c r="T82" i="4"/>
  <c r="N49" i="13"/>
  <c r="N48" i="13" s="1"/>
  <c r="N71" i="13"/>
  <c r="O28" i="5"/>
  <c r="AI144" i="26"/>
  <c r="AI350" i="26"/>
  <c r="BA126" i="26"/>
  <c r="Q41" i="2"/>
  <c r="Q87" i="4"/>
  <c r="Q90" i="4" s="1"/>
  <c r="Q81" i="4"/>
  <c r="Q79" i="4" s="1"/>
  <c r="K71" i="13"/>
  <c r="L28" i="5"/>
  <c r="K49" i="13"/>
  <c r="R49" i="13"/>
  <c r="R48" i="13" s="1"/>
  <c r="S28" i="5"/>
  <c r="R71" i="13"/>
  <c r="S41" i="2"/>
  <c r="S87" i="4"/>
  <c r="S90" i="4" s="1"/>
  <c r="S81" i="4"/>
  <c r="S79" i="4" s="1"/>
  <c r="P41" i="2"/>
  <c r="P87" i="4"/>
  <c r="P90" i="4" s="1"/>
  <c r="P81" i="4"/>
  <c r="P79" i="4" s="1"/>
  <c r="AI10" i="4"/>
  <c r="AH41" i="4"/>
  <c r="AK144" i="26"/>
  <c r="AK350" i="26"/>
  <c r="AJ144" i="26"/>
  <c r="AJ350" i="26"/>
  <c r="AB79" i="9"/>
  <c r="AB93" i="2"/>
  <c r="AB95" i="2" s="1"/>
  <c r="BA142" i="26"/>
  <c r="R28" i="5"/>
  <c r="Q71" i="13"/>
  <c r="Q49" i="13"/>
  <c r="Q48" i="13" s="1"/>
  <c r="V28" i="5"/>
  <c r="U71" i="13"/>
  <c r="V79" i="5" s="1"/>
  <c r="U49" i="13"/>
  <c r="U48" i="13" s="1"/>
  <c r="AC86" i="9"/>
  <c r="AC90" i="9" s="1"/>
  <c r="AC81" i="9"/>
  <c r="AC76" i="2"/>
  <c r="AE79" i="9"/>
  <c r="AE93" i="2"/>
  <c r="AE95" i="2" s="1"/>
  <c r="AG76" i="9"/>
  <c r="AH76" i="9" s="1"/>
  <c r="AF86" i="9"/>
  <c r="AF90" i="9" s="1"/>
  <c r="AF76" i="2"/>
  <c r="AF81" i="9"/>
  <c r="AD82" i="9"/>
  <c r="AD80" i="2"/>
  <c r="AD83" i="2" s="1"/>
  <c r="AH79" i="10"/>
  <c r="J82" i="10"/>
  <c r="J80" i="2"/>
  <c r="J26" i="20"/>
  <c r="J27" i="20" s="1"/>
  <c r="I27" i="20"/>
  <c r="J368" i="26"/>
  <c r="K368" i="26" s="1"/>
  <c r="J361" i="26"/>
  <c r="K361" i="26" s="1"/>
  <c r="J366" i="26"/>
  <c r="U351" i="26"/>
  <c r="J363" i="26"/>
  <c r="K363" i="26" s="1"/>
  <c r="J364" i="26"/>
  <c r="K364" i="26" s="1"/>
  <c r="J365" i="26"/>
  <c r="K365" i="26" s="1"/>
  <c r="J360" i="26"/>
  <c r="AF336" i="7" l="1"/>
  <c r="AI79" i="4" s="1"/>
  <c r="M354" i="7"/>
  <c r="O354" i="7" s="1"/>
  <c r="W82" i="9"/>
  <c r="W94" i="2" s="1"/>
  <c r="W80" i="2"/>
  <c r="W83" i="2" s="1"/>
  <c r="Y86" i="9"/>
  <c r="Y90" i="9" s="1"/>
  <c r="Y76" i="2"/>
  <c r="Y81" i="9"/>
  <c r="X79" i="9"/>
  <c r="X93" i="2"/>
  <c r="X95" i="2" s="1"/>
  <c r="U79" i="9"/>
  <c r="U82" i="9" s="1"/>
  <c r="U94" i="2" s="1"/>
  <c r="U93" i="2"/>
  <c r="U95" i="2" s="1"/>
  <c r="M351" i="7"/>
  <c r="O351" i="7" s="1"/>
  <c r="M352" i="7"/>
  <c r="M353" i="7" s="1"/>
  <c r="O353" i="7" s="1"/>
  <c r="M79" i="9"/>
  <c r="M82" i="9" s="1"/>
  <c r="M94" i="2" s="1"/>
  <c r="M93" i="2"/>
  <c r="M95" i="2" s="1"/>
  <c r="V85" i="5"/>
  <c r="V90" i="5" s="1"/>
  <c r="V28" i="2"/>
  <c r="K48" i="13"/>
  <c r="I49" i="13"/>
  <c r="O79" i="5"/>
  <c r="N73" i="13"/>
  <c r="T96" i="2"/>
  <c r="T80" i="2"/>
  <c r="T83" i="2" s="1"/>
  <c r="R82" i="4"/>
  <c r="R97" i="2"/>
  <c r="M73" i="13"/>
  <c r="N79" i="5"/>
  <c r="AC79" i="9"/>
  <c r="AC93" i="2"/>
  <c r="AC95" i="2" s="1"/>
  <c r="P82" i="4"/>
  <c r="P97" i="2"/>
  <c r="AH79" i="4"/>
  <c r="AH28" i="5"/>
  <c r="L28" i="2"/>
  <c r="L85" i="5"/>
  <c r="L90" i="5" s="1"/>
  <c r="L73" i="13"/>
  <c r="M79" i="5"/>
  <c r="M355" i="7"/>
  <c r="O355" i="7" s="1"/>
  <c r="M346" i="7"/>
  <c r="M347" i="7"/>
  <c r="O347" i="7" s="1"/>
  <c r="S79" i="5"/>
  <c r="S96" i="2" s="1"/>
  <c r="R73" i="13"/>
  <c r="K73" i="13"/>
  <c r="L79" i="5"/>
  <c r="T28" i="2"/>
  <c r="T85" i="5"/>
  <c r="T90" i="5" s="1"/>
  <c r="Q79" i="5"/>
  <c r="P73" i="13"/>
  <c r="R85" i="5"/>
  <c r="R90" i="5" s="1"/>
  <c r="R28" i="2"/>
  <c r="S28" i="2"/>
  <c r="S85" i="5"/>
  <c r="S90" i="5" s="1"/>
  <c r="Q82" i="4"/>
  <c r="Q97" i="2"/>
  <c r="BA144" i="26"/>
  <c r="U80" i="2"/>
  <c r="U83" i="2" s="1"/>
  <c r="U96" i="2"/>
  <c r="Q28" i="2"/>
  <c r="Q85" i="5"/>
  <c r="Q90" i="5" s="1"/>
  <c r="O73" i="13"/>
  <c r="P79" i="5"/>
  <c r="Q73" i="13"/>
  <c r="R79" i="5"/>
  <c r="R96" i="2" s="1"/>
  <c r="BA350" i="26"/>
  <c r="V96" i="2"/>
  <c r="V80" i="2"/>
  <c r="V83" i="2" s="1"/>
  <c r="AB82" i="9"/>
  <c r="AB94" i="2" s="1"/>
  <c r="AB80" i="2"/>
  <c r="AB83" i="2" s="1"/>
  <c r="AH87" i="4"/>
  <c r="AH90" i="4" s="1"/>
  <c r="AH81" i="4"/>
  <c r="AJ81" i="4" s="1"/>
  <c r="S82" i="4"/>
  <c r="S97" i="2"/>
  <c r="O85" i="5"/>
  <c r="O90" i="5" s="1"/>
  <c r="O28" i="2"/>
  <c r="U85" i="5"/>
  <c r="U90" i="5" s="1"/>
  <c r="U28" i="2"/>
  <c r="M85" i="5"/>
  <c r="M90" i="5" s="1"/>
  <c r="M28" i="2"/>
  <c r="P85" i="5"/>
  <c r="P90" i="5" s="1"/>
  <c r="P28" i="2"/>
  <c r="N28" i="2"/>
  <c r="N85" i="5"/>
  <c r="N90" i="5" s="1"/>
  <c r="M357" i="7"/>
  <c r="O357" i="7" s="1"/>
  <c r="M349" i="7"/>
  <c r="O349" i="7" s="1"/>
  <c r="M359" i="7"/>
  <c r="O359" i="7" s="1"/>
  <c r="J362" i="26"/>
  <c r="K362" i="26" s="1"/>
  <c r="K360" i="26"/>
  <c r="J367" i="26"/>
  <c r="K367" i="26" s="1"/>
  <c r="K366" i="26"/>
  <c r="J83" i="2"/>
  <c r="AH83" i="2" s="1"/>
  <c r="AH80" i="2"/>
  <c r="AI80" i="2" s="1"/>
  <c r="AH82" i="10"/>
  <c r="J94" i="2"/>
  <c r="AD94" i="2"/>
  <c r="AH86" i="9"/>
  <c r="AH90" i="9" s="1"/>
  <c r="AH81" i="9"/>
  <c r="AH93" i="2" s="1"/>
  <c r="AH95" i="2" s="1"/>
  <c r="AF79" i="9"/>
  <c r="AF93" i="2"/>
  <c r="AF95" i="2" s="1"/>
  <c r="AG86" i="9"/>
  <c r="AG90" i="9" s="1"/>
  <c r="AG76" i="2"/>
  <c r="AG81" i="9"/>
  <c r="AE82" i="9"/>
  <c r="AE80" i="2"/>
  <c r="AE83" i="2" s="1"/>
  <c r="O352" i="7" l="1"/>
  <c r="X82" i="9"/>
  <c r="X94" i="2" s="1"/>
  <c r="X80" i="2"/>
  <c r="X83" i="2" s="1"/>
  <c r="Y79" i="9"/>
  <c r="Y93" i="2"/>
  <c r="Y95" i="2" s="1"/>
  <c r="BH359" i="26"/>
  <c r="BI359" i="26" s="1"/>
  <c r="BH353" i="26"/>
  <c r="BI353" i="26" s="1"/>
  <c r="BH357" i="26"/>
  <c r="BI357" i="26" s="1"/>
  <c r="BH361" i="26"/>
  <c r="BI361" i="26" s="1"/>
  <c r="BH360" i="26"/>
  <c r="BI360" i="26" s="1"/>
  <c r="BH355" i="26"/>
  <c r="BI355" i="26" s="1"/>
  <c r="BH362" i="26"/>
  <c r="BI362" i="26" s="1"/>
  <c r="BH352" i="26"/>
  <c r="BI352" i="26" s="1"/>
  <c r="BH358" i="26"/>
  <c r="BI358" i="26" s="1"/>
  <c r="BH356" i="26"/>
  <c r="BI356" i="26" s="1"/>
  <c r="BH354" i="26"/>
  <c r="BI354" i="26" s="1"/>
  <c r="BA351" i="26"/>
  <c r="BH350" i="26"/>
  <c r="BI350" i="26" s="1"/>
  <c r="BH351" i="26"/>
  <c r="BI351" i="26" s="1"/>
  <c r="BH349" i="26"/>
  <c r="BI349" i="26" s="1"/>
  <c r="AC82" i="9"/>
  <c r="AC94" i="2" s="1"/>
  <c r="AC80" i="2"/>
  <c r="AC83" i="2" s="1"/>
  <c r="I75" i="13"/>
  <c r="I48" i="13"/>
  <c r="L96" i="2"/>
  <c r="AH79" i="5"/>
  <c r="L80" i="2"/>
  <c r="L83" i="2" s="1"/>
  <c r="M348" i="7"/>
  <c r="O348" i="7" s="1"/>
  <c r="O346" i="7"/>
  <c r="N80" i="2"/>
  <c r="N83" i="2" s="1"/>
  <c r="N96" i="2"/>
  <c r="AH82" i="4"/>
  <c r="R80" i="2"/>
  <c r="R83" i="2" s="1"/>
  <c r="P80" i="2"/>
  <c r="P83" i="2" s="1"/>
  <c r="P96" i="2"/>
  <c r="AH85" i="5"/>
  <c r="AH90" i="5" s="1"/>
  <c r="AH81" i="5"/>
  <c r="Q96" i="2"/>
  <c r="Q80" i="2"/>
  <c r="Q83" i="2" s="1"/>
  <c r="M80" i="2"/>
  <c r="M83" i="2" s="1"/>
  <c r="M96" i="2"/>
  <c r="AH97" i="2"/>
  <c r="AJ79" i="6"/>
  <c r="O96" i="2"/>
  <c r="O80" i="2"/>
  <c r="O83" i="2" s="1"/>
  <c r="S80" i="2"/>
  <c r="S83" i="2" s="1"/>
  <c r="AE94" i="2"/>
  <c r="AG79" i="9"/>
  <c r="AH79" i="9" s="1"/>
  <c r="AK79" i="2" s="1"/>
  <c r="AG93" i="2"/>
  <c r="AG95" i="2" s="1"/>
  <c r="AF82" i="9"/>
  <c r="AF80" i="2"/>
  <c r="AF83" i="2" s="1"/>
  <c r="Y82" i="9" l="1"/>
  <c r="Y94" i="2" s="1"/>
  <c r="Y80" i="2"/>
  <c r="Y83" i="2" s="1"/>
  <c r="AH96" i="2"/>
  <c r="AJ79" i="5"/>
  <c r="AF94" i="2"/>
  <c r="AG82" i="9"/>
  <c r="AG80" i="2"/>
  <c r="AG83" i="2" s="1"/>
  <c r="AG94" i="2" l="1"/>
  <c r="AH82" i="9"/>
  <c r="AH94" i="2" s="1"/>
  <c r="AI9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Brigitte Allegra</author>
  </authors>
  <commentList>
    <comment ref="H10" authorId="0" shapeId="0" xr:uid="{00000000-0006-0000-0C00-000001000000}">
      <text>
        <r>
          <rPr>
            <b/>
            <sz val="10"/>
            <color rgb="FF000000"/>
            <rFont val="Tahoma"/>
            <family val="2"/>
          </rPr>
          <t>Brigitte Allegra:</t>
        </r>
        <r>
          <rPr>
            <sz val="10"/>
            <color rgb="FF000000"/>
            <rFont val="Tahoma"/>
            <family val="2"/>
          </rPr>
          <t xml:space="preserve">
</t>
        </r>
        <r>
          <rPr>
            <sz val="10"/>
            <color rgb="FF000000"/>
            <rFont val="Tahoma"/>
            <family val="2"/>
          </rPr>
          <t>Work Package number</t>
        </r>
      </text>
    </comment>
    <comment ref="H18" authorId="0" shapeId="0" xr:uid="{00000000-0006-0000-0C00-000002000000}">
      <text>
        <r>
          <rPr>
            <b/>
            <sz val="10"/>
            <color rgb="FF000000"/>
            <rFont val="Tahoma"/>
            <family val="2"/>
          </rPr>
          <t>Brigitte Allegra:</t>
        </r>
        <r>
          <rPr>
            <sz val="10"/>
            <color rgb="FF000000"/>
            <rFont val="Tahoma"/>
            <family val="2"/>
          </rPr>
          <t xml:space="preserve">
</t>
        </r>
        <r>
          <rPr>
            <sz val="10"/>
            <color rgb="FF000000"/>
            <rFont val="Tahoma"/>
            <family val="2"/>
          </rPr>
          <t xml:space="preserve">we don,t have this granularity in CS
</t>
        </r>
      </text>
    </comment>
    <comment ref="H19" authorId="0" shapeId="0" xr:uid="{00000000-0006-0000-0C00-000003000000}">
      <text>
        <r>
          <rPr>
            <b/>
            <sz val="10"/>
            <color rgb="FF000000"/>
            <rFont val="Tahoma"/>
            <family val="2"/>
          </rPr>
          <t>Brigitte Allegra:</t>
        </r>
        <r>
          <rPr>
            <sz val="10"/>
            <color rgb="FF000000"/>
            <rFont val="Tahoma"/>
            <family val="2"/>
          </rPr>
          <t xml:space="preserve">
</t>
        </r>
        <r>
          <rPr>
            <sz val="10"/>
            <color rgb="FF000000"/>
            <rFont val="Tahoma"/>
            <family val="2"/>
          </rPr>
          <t>550000 is procurement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Brigitte Allegra</author>
  </authors>
  <commentList>
    <comment ref="H10" authorId="0" shapeId="0" xr:uid="{00000000-0006-0000-1C00-000001000000}">
      <text>
        <r>
          <rPr>
            <b/>
            <sz val="10"/>
            <color rgb="FF000000"/>
            <rFont val="Tahoma"/>
            <family val="2"/>
          </rPr>
          <t>Brigitte Allegra:</t>
        </r>
        <r>
          <rPr>
            <sz val="10"/>
            <color rgb="FF000000"/>
            <rFont val="Tahoma"/>
            <family val="2"/>
          </rPr>
          <t xml:space="preserve">
</t>
        </r>
        <r>
          <rPr>
            <sz val="10"/>
            <color rgb="FF000000"/>
            <rFont val="Tahoma"/>
            <family val="2"/>
          </rPr>
          <t>Work Package number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Brigitte Allegra</author>
  </authors>
  <commentList>
    <comment ref="H10" authorId="0" shapeId="0" xr:uid="{00000000-0006-0000-0D00-000001000000}">
      <text>
        <r>
          <rPr>
            <b/>
            <sz val="10"/>
            <color rgb="FF000000"/>
            <rFont val="Tahoma"/>
            <family val="2"/>
          </rPr>
          <t>Brigitte Allegra:</t>
        </r>
        <r>
          <rPr>
            <sz val="10"/>
            <color rgb="FF000000"/>
            <rFont val="Tahoma"/>
            <family val="2"/>
          </rPr>
          <t xml:space="preserve">
</t>
        </r>
        <r>
          <rPr>
            <sz val="10"/>
            <color rgb="FF000000"/>
            <rFont val="Tahoma"/>
            <family val="2"/>
          </rPr>
          <t>Work Package number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Brigitte Allegra</author>
  </authors>
  <commentList>
    <comment ref="H10" authorId="0" shapeId="0" xr:uid="{00000000-0006-0000-0F00-000001000000}">
      <text>
        <r>
          <rPr>
            <b/>
            <sz val="10"/>
            <color rgb="FF000000"/>
            <rFont val="Tahoma"/>
            <family val="2"/>
          </rPr>
          <t>Brigitte Allegra:</t>
        </r>
        <r>
          <rPr>
            <sz val="10"/>
            <color rgb="FF000000"/>
            <rFont val="Tahoma"/>
            <family val="2"/>
          </rPr>
          <t xml:space="preserve">
</t>
        </r>
        <r>
          <rPr>
            <sz val="10"/>
            <color rgb="FF000000"/>
            <rFont val="Tahoma"/>
            <family val="2"/>
          </rPr>
          <t>Work Package number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Brigitte Allegra</author>
  </authors>
  <commentList>
    <comment ref="H10" authorId="0" shapeId="0" xr:uid="{00000000-0006-0000-1100-000001000000}">
      <text>
        <r>
          <rPr>
            <b/>
            <sz val="10"/>
            <color rgb="FF000000"/>
            <rFont val="Tahoma"/>
            <family val="2"/>
          </rPr>
          <t>Brigitte Allegra:</t>
        </r>
        <r>
          <rPr>
            <sz val="10"/>
            <color rgb="FF000000"/>
            <rFont val="Tahoma"/>
            <family val="2"/>
          </rPr>
          <t xml:space="preserve">
</t>
        </r>
        <r>
          <rPr>
            <sz val="10"/>
            <color rgb="FF000000"/>
            <rFont val="Tahoma"/>
            <family val="2"/>
          </rPr>
          <t>Work Package number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Brigitte Allegra</author>
  </authors>
  <commentList>
    <comment ref="H10" authorId="0" shapeId="0" xr:uid="{00000000-0006-0000-1400-000001000000}">
      <text>
        <r>
          <rPr>
            <b/>
            <sz val="10"/>
            <color rgb="FF000000"/>
            <rFont val="Tahoma"/>
            <family val="2"/>
          </rPr>
          <t>Brigitte Allegra:</t>
        </r>
        <r>
          <rPr>
            <sz val="10"/>
            <color rgb="FF000000"/>
            <rFont val="Tahoma"/>
            <family val="2"/>
          </rPr>
          <t xml:space="preserve">
</t>
        </r>
        <r>
          <rPr>
            <sz val="10"/>
            <color rgb="FF000000"/>
            <rFont val="Tahoma"/>
            <family val="2"/>
          </rPr>
          <t>Work Package number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Brigitte Allegra</author>
  </authors>
  <commentList>
    <comment ref="H10" authorId="0" shapeId="0" xr:uid="{00000000-0006-0000-1600-000001000000}">
      <text>
        <r>
          <rPr>
            <b/>
            <sz val="10"/>
            <color rgb="FF000000"/>
            <rFont val="Tahoma"/>
            <family val="2"/>
          </rPr>
          <t>Brigitte Allegra:</t>
        </r>
        <r>
          <rPr>
            <sz val="10"/>
            <color rgb="FF000000"/>
            <rFont val="Tahoma"/>
            <family val="2"/>
          </rPr>
          <t xml:space="preserve">
</t>
        </r>
        <r>
          <rPr>
            <sz val="10"/>
            <color rgb="FF000000"/>
            <rFont val="Tahoma"/>
            <family val="2"/>
          </rPr>
          <t>Work Package number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Brigitte Allegra</author>
  </authors>
  <commentList>
    <comment ref="H10" authorId="0" shapeId="0" xr:uid="{00000000-0006-0000-1700-000001000000}">
      <text>
        <r>
          <rPr>
            <b/>
            <sz val="10"/>
            <color rgb="FF000000"/>
            <rFont val="Tahoma"/>
            <family val="2"/>
          </rPr>
          <t>Brigitte Allegra:</t>
        </r>
        <r>
          <rPr>
            <sz val="10"/>
            <color rgb="FF000000"/>
            <rFont val="Tahoma"/>
            <family val="2"/>
          </rPr>
          <t xml:space="preserve">
</t>
        </r>
        <r>
          <rPr>
            <sz val="10"/>
            <color rgb="FF000000"/>
            <rFont val="Tahoma"/>
            <family val="2"/>
          </rPr>
          <t>Work Package number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Brigitte Allegra</author>
  </authors>
  <commentList>
    <comment ref="H10" authorId="0" shapeId="0" xr:uid="{00000000-0006-0000-1A00-000001000000}">
      <text>
        <r>
          <rPr>
            <b/>
            <sz val="10"/>
            <color rgb="FF000000"/>
            <rFont val="Tahoma"/>
            <family val="2"/>
          </rPr>
          <t>Brigitte Allegra:</t>
        </r>
        <r>
          <rPr>
            <sz val="10"/>
            <color rgb="FF000000"/>
            <rFont val="Tahoma"/>
            <family val="2"/>
          </rPr>
          <t xml:space="preserve">
</t>
        </r>
        <r>
          <rPr>
            <sz val="10"/>
            <color rgb="FF000000"/>
            <rFont val="Tahoma"/>
            <family val="2"/>
          </rPr>
          <t>Work Package number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Brigitte Allegra</author>
  </authors>
  <commentList>
    <comment ref="I7" authorId="0" shapeId="0" xr:uid="{00000000-0006-0000-1B00-000001000000}">
      <text>
        <r>
          <rPr>
            <b/>
            <sz val="10"/>
            <color rgb="FF000000"/>
            <rFont val="Tahoma"/>
            <family val="2"/>
          </rPr>
          <t>Brigitte Allegra:</t>
        </r>
        <r>
          <rPr>
            <sz val="10"/>
            <color rgb="FF000000"/>
            <rFont val="Tahoma"/>
            <family val="2"/>
          </rPr>
          <t xml:space="preserve">
</t>
        </r>
        <r>
          <rPr>
            <sz val="10"/>
            <color rgb="FF000000"/>
            <rFont val="Tahoma"/>
            <family val="2"/>
          </rPr>
          <t>Work Package number</t>
        </r>
      </text>
    </comment>
  </commentList>
</comments>
</file>

<file path=xl/sharedStrings.xml><?xml version="1.0" encoding="utf-8"?>
<sst xmlns="http://schemas.openxmlformats.org/spreadsheetml/2006/main" count="8235" uniqueCount="1431">
  <si>
    <t>Responsibility</t>
  </si>
  <si>
    <t>(All)</t>
  </si>
  <si>
    <t>Sum of AMT KEUR</t>
  </si>
  <si>
    <t>Column Labels</t>
  </si>
  <si>
    <t>Sum of FTE</t>
  </si>
  <si>
    <t>Row Labels</t>
  </si>
  <si>
    <t>A</t>
  </si>
  <si>
    <t>B</t>
  </si>
  <si>
    <t>C</t>
  </si>
  <si>
    <t>D</t>
  </si>
  <si>
    <t>E/F</t>
  </si>
  <si>
    <t>Grand Total</t>
  </si>
  <si>
    <t>MGT</t>
  </si>
  <si>
    <t>Manpower</t>
  </si>
  <si>
    <t>MISSION</t>
  </si>
  <si>
    <t>VESPUP WBS and WP numbering</t>
  </si>
  <si>
    <t>Please go down to 3rd or 4th level, no lower</t>
  </si>
  <si>
    <t xml:space="preserve"> </t>
  </si>
  <si>
    <t>2020Q1</t>
  </si>
  <si>
    <t>2020Q2</t>
  </si>
  <si>
    <t>WBS</t>
  </si>
  <si>
    <t>WP</t>
  </si>
  <si>
    <t>T8 Code</t>
  </si>
  <si>
    <t>Cost Category</t>
  </si>
  <si>
    <t>Cost Type</t>
  </si>
  <si>
    <t>Partner WP#</t>
  </si>
  <si>
    <t>Country</t>
  </si>
  <si>
    <t>Phase</t>
  </si>
  <si>
    <t>AMT KEUR</t>
  </si>
  <si>
    <t>FTE</t>
  </si>
  <si>
    <t>Project Management and SE</t>
  </si>
  <si>
    <t>Project Management</t>
  </si>
  <si>
    <t>A1</t>
  </si>
  <si>
    <t>ClearSpace Project Management</t>
  </si>
  <si>
    <t>ClearSpace</t>
  </si>
  <si>
    <t>CH</t>
  </si>
  <si>
    <t>Project &amp; contractor management</t>
  </si>
  <si>
    <t>Project planning, cost and schedule management</t>
  </si>
  <si>
    <t>Risk management</t>
  </si>
  <si>
    <t>Documentation management</t>
  </si>
  <si>
    <t>Integrated logistics</t>
  </si>
  <si>
    <t>Legal &amp; UN coordination</t>
  </si>
  <si>
    <t>Financial reporting, procurements &amp; negociation</t>
  </si>
  <si>
    <t>Admin and IT</t>
  </si>
  <si>
    <t>PR &amp; External communication</t>
  </si>
  <si>
    <t>OHB-Se Projet Management</t>
  </si>
  <si>
    <t>OHB-Sweden</t>
  </si>
  <si>
    <t>SE</t>
  </si>
  <si>
    <t>Airbus DS Projet Management</t>
  </si>
  <si>
    <t>Airbus DS</t>
  </si>
  <si>
    <t>DE</t>
  </si>
  <si>
    <t>APCO-Techn Project Management</t>
  </si>
  <si>
    <t>APCO-Technologies</t>
  </si>
  <si>
    <t>Syderal-Swiss Project Management</t>
  </si>
  <si>
    <t>Syderal Swiss</t>
  </si>
  <si>
    <t>RUAG-Space Project Management</t>
  </si>
  <si>
    <t>Ruag-Space</t>
  </si>
  <si>
    <t>EPFL Project Management</t>
  </si>
  <si>
    <t>EPFL</t>
  </si>
  <si>
    <t>AIUB Project management</t>
  </si>
  <si>
    <t>AIUB</t>
  </si>
  <si>
    <t>Project System Engineering</t>
  </si>
  <si>
    <t>A3</t>
  </si>
  <si>
    <t>Project level system engineering</t>
  </si>
  <si>
    <t>System engineering planning &amp; management</t>
  </si>
  <si>
    <t>Project life cycle assessment</t>
  </si>
  <si>
    <t>Systems planning, cost and scheduling</t>
  </si>
  <si>
    <t>Risk assessment and management</t>
  </si>
  <si>
    <t>Specifications and requirements management</t>
  </si>
  <si>
    <t>Interfaces control and management</t>
  </si>
  <si>
    <t>Changes and non-conformance control</t>
  </si>
  <si>
    <t>Industrial design</t>
  </si>
  <si>
    <t>Licenses and registrations</t>
  </si>
  <si>
    <t>Launch procurement management</t>
  </si>
  <si>
    <t>ESA expertise and test observations</t>
  </si>
  <si>
    <t>PA/QA</t>
  </si>
  <si>
    <t>A2</t>
  </si>
  <si>
    <t>PA/QA - ClearSpace</t>
  </si>
  <si>
    <t>SW Product Assurance</t>
  </si>
  <si>
    <t>HW and AIT Product Assurance</t>
  </si>
  <si>
    <t>PA/QA - OHB-Sweden</t>
  </si>
  <si>
    <t>PA/QA - Airbus DS</t>
  </si>
  <si>
    <t>APCO-Techn Product Assurance</t>
  </si>
  <si>
    <t>PA/QA - Syderal Swiss</t>
  </si>
  <si>
    <t>RUAG-Space product Assurance</t>
  </si>
  <si>
    <t>Commercial, scalability and industrialisation requirements</t>
  </si>
  <si>
    <t>Definition of commercial costumer requirements</t>
  </si>
  <si>
    <t>Commercial service mission architectures</t>
  </si>
  <si>
    <t>Scalability analysis of space and ground segment</t>
  </si>
  <si>
    <t>Industrialisation and commercial operational plan</t>
  </si>
  <si>
    <t>Industrialisation plan</t>
  </si>
  <si>
    <t>RUAG-Space</t>
  </si>
  <si>
    <t>Operational plan</t>
  </si>
  <si>
    <t>Mission Engineering</t>
  </si>
  <si>
    <t>Mission analysis</t>
  </si>
  <si>
    <t>Mission analysis -Preliminary</t>
  </si>
  <si>
    <t>Mission analysis - Detailed</t>
  </si>
  <si>
    <t>Support to mission analyses</t>
  </si>
  <si>
    <t>Flight dynamics software - definition</t>
  </si>
  <si>
    <t>Space environment analyses</t>
  </si>
  <si>
    <t>Radiation environment definition and analyses - Preliminary</t>
  </si>
  <si>
    <t>Radiation environment definition and analyses - Detailed</t>
  </si>
  <si>
    <t>Space charging analyses</t>
  </si>
  <si>
    <t>Mission operations planning</t>
  </si>
  <si>
    <t>Requirements analyses and preliminary mission operations concept</t>
  </si>
  <si>
    <t>Operational analysis and concept development</t>
  </si>
  <si>
    <t>Operational engineering planning</t>
  </si>
  <si>
    <t>Support to mission planning and operations</t>
  </si>
  <si>
    <t>Mission data products</t>
  </si>
  <si>
    <t>RV GNC data product and tools definition</t>
  </si>
  <si>
    <t>RV Capture data product and tools definition</t>
  </si>
  <si>
    <t>Launch vehicle</t>
  </si>
  <si>
    <t>Launch specification</t>
  </si>
  <si>
    <t>Launch environment definition</t>
  </si>
  <si>
    <t>Support to launch environment definition</t>
  </si>
  <si>
    <t>Launch specifications for equipments</t>
  </si>
  <si>
    <t>Launch procurement</t>
  </si>
  <si>
    <t>Procurement</t>
  </si>
  <si>
    <t>Flight Segment</t>
  </si>
  <si>
    <t>Flight System engineering</t>
  </si>
  <si>
    <t>A4</t>
  </si>
  <si>
    <t>Flight System engineering and management</t>
  </si>
  <si>
    <t>Flight System planning, cost and scheduling</t>
  </si>
  <si>
    <t>Flight Engineering Simulator (FES)</t>
  </si>
  <si>
    <t>FES Preliminary Design</t>
  </si>
  <si>
    <t>FES Detailed design and production</t>
  </si>
  <si>
    <t>FES Validation</t>
  </si>
  <si>
    <t>System level Fault Detection, Isolation and Recovery</t>
  </si>
  <si>
    <t>PD - Preliminary design and specifications</t>
  </si>
  <si>
    <t>Model predictive FDIR</t>
  </si>
  <si>
    <t>System mechanical and thermal architecture, SE</t>
  </si>
  <si>
    <t>PD - Preliminary design</t>
  </si>
  <si>
    <t xml:space="preserve">System optimisation and demisabilty </t>
  </si>
  <si>
    <t xml:space="preserve">VESPA Mock-up design and manufacture </t>
  </si>
  <si>
    <t>Satellite accomodation and re-entry simulations</t>
  </si>
  <si>
    <t>Provision university/Belstead</t>
  </si>
  <si>
    <t>DD - Detailed accomodation and integration</t>
  </si>
  <si>
    <t>Mechanical parts procurement (in ME)</t>
  </si>
  <si>
    <t>C12</t>
  </si>
  <si>
    <t>TECH</t>
  </si>
  <si>
    <t>SADM</t>
  </si>
  <si>
    <t>System electrical and data architecture, SE</t>
  </si>
  <si>
    <t>Solar Panels specifications</t>
  </si>
  <si>
    <t>EMC/ESD requirements and analyses</t>
  </si>
  <si>
    <t>DD - Detailed design and integration</t>
  </si>
  <si>
    <t>Solar Panels detailed design and MAIT</t>
  </si>
  <si>
    <t>EMC/ESD detailed design and tests</t>
  </si>
  <si>
    <t>FlatSat and PFM Harness SE</t>
  </si>
  <si>
    <t>Design and justification</t>
  </si>
  <si>
    <t>SE and system level brakets</t>
  </si>
  <si>
    <t>CAPT/RVS/COM harness</t>
  </si>
  <si>
    <t>EPS/OBDH/COM harness</t>
  </si>
  <si>
    <t>GNC and propulsion harness</t>
  </si>
  <si>
    <t>THERM harness</t>
  </si>
  <si>
    <t>System Rendezvous architecture, SE</t>
  </si>
  <si>
    <t>HW architecture</t>
  </si>
  <si>
    <t>SW architecture</t>
  </si>
  <si>
    <t>Propulsion</t>
  </si>
  <si>
    <t>MBSE VEPUP model</t>
  </si>
  <si>
    <t>Flight Software (FSw)</t>
  </si>
  <si>
    <t>B11</t>
  </si>
  <si>
    <t>Flight software architecture and  SE</t>
  </si>
  <si>
    <t>Application layer FSw - Preliminary design</t>
  </si>
  <si>
    <t>FLP FSw support - training</t>
  </si>
  <si>
    <t>Low level FSW - Preliminary design</t>
  </si>
  <si>
    <t>System level FDIR FSw- Preliminary design</t>
  </si>
  <si>
    <t>Application layer FSw - Implementation and Unit Testing</t>
  </si>
  <si>
    <t>FLP FSw support - integration</t>
  </si>
  <si>
    <t>Low level FSW - Design and production</t>
  </si>
  <si>
    <t>System level FDIR FSw - Design and production</t>
  </si>
  <si>
    <t>FSw implementation and validation</t>
  </si>
  <si>
    <t>FSw verification</t>
  </si>
  <si>
    <t>Electrical Power System (EPS)</t>
  </si>
  <si>
    <t>B31</t>
  </si>
  <si>
    <t>EPS Systems Engineering and design</t>
  </si>
  <si>
    <t>EPS  Preliminary Design</t>
  </si>
  <si>
    <t>EPS Detailed Design</t>
  </si>
  <si>
    <t>EPS Verification</t>
  </si>
  <si>
    <t>EPS AI&amp;V support</t>
  </si>
  <si>
    <t>On-Board Data Handling (OBDH)</t>
  </si>
  <si>
    <t>B21</t>
  </si>
  <si>
    <t>OBDH Systems Engineering and design</t>
  </si>
  <si>
    <t>OBDH  Preliminary Design Updates</t>
  </si>
  <si>
    <t>OBDH Detailed Design and procurement</t>
  </si>
  <si>
    <t>OBDH Verification</t>
  </si>
  <si>
    <t>OBDH AI&amp;V support</t>
  </si>
  <si>
    <t>Telecom</t>
  </si>
  <si>
    <t>B41</t>
  </si>
  <si>
    <t>Telecom SE and design</t>
  </si>
  <si>
    <t>S-band TM/TC</t>
  </si>
  <si>
    <t>TM/TC Preliminary design</t>
  </si>
  <si>
    <t>TM/TC Detailed design and procurement</t>
  </si>
  <si>
    <t>TM/TC Software updates</t>
  </si>
  <si>
    <t>TM/TC Verification</t>
  </si>
  <si>
    <t>TM/TC AI&amp;V support</t>
  </si>
  <si>
    <t>…</t>
  </si>
  <si>
    <t>Direct-Downlink System</t>
  </si>
  <si>
    <t>DDS Preliminary design</t>
  </si>
  <si>
    <t>DDS Detailed design and procurement</t>
  </si>
  <si>
    <t>DDS Software</t>
  </si>
  <si>
    <t>DDS Verification</t>
  </si>
  <si>
    <t>DDS AI&amp;V support</t>
  </si>
  <si>
    <t>Subsystem Compatibility tests</t>
  </si>
  <si>
    <t>Guidance Navigation &amp; Control (GNC)</t>
  </si>
  <si>
    <t>B51</t>
  </si>
  <si>
    <t>GNC Requirements and engineering</t>
  </si>
  <si>
    <t>PD System Engineering Support</t>
  </si>
  <si>
    <t>GNC Preliminary Design</t>
  </si>
  <si>
    <t>Inputs to Preliminary Design</t>
  </si>
  <si>
    <t>GNC DD Systems Engineering</t>
  </si>
  <si>
    <t>DD System Enginnering Support</t>
  </si>
  <si>
    <t>GNC Detailed Design</t>
  </si>
  <si>
    <t>Inputs to Detailed Design</t>
  </si>
  <si>
    <t>GNC Software Development</t>
  </si>
  <si>
    <t>SW architectural design</t>
  </si>
  <si>
    <t>SW detailed design and unit test</t>
  </si>
  <si>
    <t>Inputs to  SW detailed design and unit test</t>
  </si>
  <si>
    <t>SW scenario testing</t>
  </si>
  <si>
    <t>Inputs to SW scenario testing</t>
  </si>
  <si>
    <t>Simulators</t>
  </si>
  <si>
    <t>MIL/SIL simulator</t>
  </si>
  <si>
    <t>Inputs to  MIL/SIL simulator</t>
  </si>
  <si>
    <t>Inputs to PIL-simulator</t>
  </si>
  <si>
    <t>Inputs to HIL-simulator</t>
  </si>
  <si>
    <t>Equipment procurement</t>
  </si>
  <si>
    <t>GNC verification</t>
  </si>
  <si>
    <t>Inputs to GNC verification</t>
  </si>
  <si>
    <t>GNC AI&amp;V support</t>
  </si>
  <si>
    <t>Rendezvous Sensors and Processing (RVSP)</t>
  </si>
  <si>
    <t>Systems Engineering</t>
  </si>
  <si>
    <t>C11</t>
  </si>
  <si>
    <t>PD - Onboard Processing Algorithms</t>
  </si>
  <si>
    <t>Development of synthetic images database</t>
  </si>
  <si>
    <t>Development of 6DoF target pose estimation algorithms</t>
  </si>
  <si>
    <t>FPGA based algorithms implementation</t>
  </si>
  <si>
    <t>Stereo imaging</t>
  </si>
  <si>
    <t>PD - Ground Support Tools</t>
  </si>
  <si>
    <t>DD - Onboard Processing Algorithms</t>
  </si>
  <si>
    <t>DD - Ground Support Tools</t>
  </si>
  <si>
    <t>Flight Software</t>
  </si>
  <si>
    <t>Architectural Design</t>
  </si>
  <si>
    <t>Implementation and Unit Testing</t>
  </si>
  <si>
    <t>Performance Validation</t>
  </si>
  <si>
    <t>Ground Support and Analysis Tools</t>
  </si>
  <si>
    <t>Simulation and Testing Tools</t>
  </si>
  <si>
    <t>Development Environment</t>
  </si>
  <si>
    <t>MIL/SIL Sensor Simulator</t>
  </si>
  <si>
    <t>Testing Framework</t>
  </si>
  <si>
    <t>Sensor Suite</t>
  </si>
  <si>
    <t>GNC RV Sensor suits requirements analysis</t>
  </si>
  <si>
    <t>Preliminary Architecture and Sensor Selection</t>
  </si>
  <si>
    <t>Preliminary Characterization and Modeling</t>
  </si>
  <si>
    <t>Preliminary SW Interfaces</t>
  </si>
  <si>
    <t>GNC RV Sensor suit technical specification</t>
  </si>
  <si>
    <t>Characterization and Modeling consolidation</t>
  </si>
  <si>
    <t>SW Interfaces consolidation</t>
  </si>
  <si>
    <t>Procurement Phase A/B</t>
  </si>
  <si>
    <t>GNC RV Sensor suits detailed definition</t>
  </si>
  <si>
    <t>Detailed characterization and Modeling</t>
  </si>
  <si>
    <t>Detailed SW interfaces</t>
  </si>
  <si>
    <t>Verification and Testing Phase A/B</t>
  </si>
  <si>
    <t>AI&amp;V support Phase A/B</t>
  </si>
  <si>
    <t>Procurement Phase C/D</t>
  </si>
  <si>
    <t>Verification and Testing Phase C/D</t>
  </si>
  <si>
    <t>AI&amp;V support Phase C/D</t>
  </si>
  <si>
    <t>Phase E/F activities</t>
  </si>
  <si>
    <t>RV Sensors Data Processing Unit (RVSDPU)</t>
  </si>
  <si>
    <t>RVSPU-EBB Preliminary Design</t>
  </si>
  <si>
    <t>RVSPU-EQM Design, Production and Test</t>
  </si>
  <si>
    <t>RVSPU-PFM Design, Production and Tests</t>
  </si>
  <si>
    <t>Detailed design</t>
  </si>
  <si>
    <t>QM &amp; FM production and tests</t>
  </si>
  <si>
    <t>Verification and qualification</t>
  </si>
  <si>
    <t>Subsystem Tests and Validation</t>
  </si>
  <si>
    <t>Subsystem AI&amp;V</t>
  </si>
  <si>
    <t>B61</t>
  </si>
  <si>
    <t>Propulsion Subsystem design definition</t>
  </si>
  <si>
    <t>Propulsion Subsystem design consolidation and analysis</t>
  </si>
  <si>
    <t>Consolidation and Analyses</t>
  </si>
  <si>
    <t>Electrical I/F and engineering model design</t>
  </si>
  <si>
    <t>Subsystem performance analysis</t>
  </si>
  <si>
    <t>Structural and Thermal Model (STM) design</t>
  </si>
  <si>
    <t>Subsystem manufacturing, Assembly and Integration (MAI)</t>
  </si>
  <si>
    <t>Procedure, tooling, fixture and MGSE design and manufacture</t>
  </si>
  <si>
    <t>Engineering model (EM) and EGSE design and manufacture</t>
  </si>
  <si>
    <t>Protoflight model (PFM) manufacturing, assembly and integration</t>
  </si>
  <si>
    <t>Verification and tests</t>
  </si>
  <si>
    <t>Verification and test plan</t>
  </si>
  <si>
    <t>PGSE design and manufacture</t>
  </si>
  <si>
    <t>PFM testing</t>
  </si>
  <si>
    <t>Support to Sat AIT</t>
  </si>
  <si>
    <t>PFM sub-assembly MAIT incl. Piping</t>
  </si>
  <si>
    <t>Capture system</t>
  </si>
  <si>
    <t>C21</t>
  </si>
  <si>
    <t>System Engineering</t>
  </si>
  <si>
    <t>CS PD System Engineering</t>
  </si>
  <si>
    <t>CS DD System Engineering</t>
  </si>
  <si>
    <t>CS System Engineering for QM</t>
  </si>
  <si>
    <t>CS System Engineering for FM</t>
  </si>
  <si>
    <t>CS Mechanism Design</t>
  </si>
  <si>
    <t>Preliminary CS Mechanism Design</t>
  </si>
  <si>
    <t>Preliminary design damping structure</t>
  </si>
  <si>
    <t>Miniaturized proximity sensor</t>
  </si>
  <si>
    <t>Detailed CS Mechanism Design</t>
  </si>
  <si>
    <t>Detailed design damping structure</t>
  </si>
  <si>
    <t>CS Electrical / Control Design</t>
  </si>
  <si>
    <t>Preliminary CS Electrical/Control Design</t>
  </si>
  <si>
    <t>Fast adaptive control for the capture</t>
  </si>
  <si>
    <t>Detailed CS Electrical / Control Design</t>
  </si>
  <si>
    <t>Dynamic Capture Simulation SW</t>
  </si>
  <si>
    <t>Dynamic Capture Simulation SW Design</t>
  </si>
  <si>
    <t>Contact dynamics analyses and simulator</t>
  </si>
  <si>
    <t>Dynamic Capture Simulation SW Validation</t>
  </si>
  <si>
    <t>CS GSE Design and production</t>
  </si>
  <si>
    <t xml:space="preserve">CS MAIT </t>
  </si>
  <si>
    <t xml:space="preserve">CS EM1 </t>
  </si>
  <si>
    <t xml:space="preserve">CS EM2 </t>
  </si>
  <si>
    <t>CS QM MAIT</t>
  </si>
  <si>
    <t>CS FM MAIT</t>
  </si>
  <si>
    <t>Platform Mechanical Systems</t>
  </si>
  <si>
    <t>System engineering support</t>
  </si>
  <si>
    <t>B71</t>
  </si>
  <si>
    <t xml:space="preserve">Structure Subsystem preliminary design </t>
  </si>
  <si>
    <t xml:space="preserve">Structure Subsystem detailed design and (structural + thermal) analysis </t>
  </si>
  <si>
    <t>Structure Subsystem STM MAIT</t>
  </si>
  <si>
    <t>Primary Structure (incl. Services Launch Adapter)</t>
  </si>
  <si>
    <t xml:space="preserve">Secondary structure </t>
  </si>
  <si>
    <t>Tertiary structure (Brackets)</t>
  </si>
  <si>
    <t>STM AIT / AIV</t>
  </si>
  <si>
    <t>Structure Subsystem PFM MAIT</t>
  </si>
  <si>
    <t>Solar panels structure and mechanisms</t>
  </si>
  <si>
    <t>B91</t>
  </si>
  <si>
    <t>Substrates</t>
  </si>
  <si>
    <t>HDRMs and hinges</t>
  </si>
  <si>
    <t>PFM AIT / AIV</t>
  </si>
  <si>
    <t>Thermal HW</t>
  </si>
  <si>
    <t>B81</t>
  </si>
  <si>
    <t xml:space="preserve">Thermal HW procurement </t>
  </si>
  <si>
    <t>Thermal HW AIT / AIV</t>
  </si>
  <si>
    <t>4A0000</t>
  </si>
  <si>
    <t>Additional Payloads</t>
  </si>
  <si>
    <t>4A1000</t>
  </si>
  <si>
    <t>4A2000</t>
  </si>
  <si>
    <t>OB 3D-360 Videos</t>
  </si>
  <si>
    <t>4A3000</t>
  </si>
  <si>
    <t>Ground Immersive technologies</t>
  </si>
  <si>
    <t>4A4000</t>
  </si>
  <si>
    <t>Space debris payload</t>
  </si>
  <si>
    <t>X</t>
  </si>
  <si>
    <t>Assembly, Integration &amp; Verification</t>
  </si>
  <si>
    <t>Systems engineering</t>
  </si>
  <si>
    <t>A5</t>
  </si>
  <si>
    <t>Electrical systems AIV system engineering</t>
  </si>
  <si>
    <t>Mechanical systems  AIV System engineering</t>
  </si>
  <si>
    <t>DLR Consultancy test facility and reviews</t>
  </si>
  <si>
    <t xml:space="preserve">Ground support Equipment </t>
  </si>
  <si>
    <t>A6</t>
  </si>
  <si>
    <t xml:space="preserve">EGSE </t>
  </si>
  <si>
    <t>MGSE</t>
  </si>
  <si>
    <t xml:space="preserve">MGSE preliminary design </t>
  </si>
  <si>
    <t xml:space="preserve">MGSE detailed design analysis </t>
  </si>
  <si>
    <t>MGSE MAIT</t>
  </si>
  <si>
    <t>STM AI&amp;T</t>
  </si>
  <si>
    <t>STM dummies models design, production and shipment</t>
  </si>
  <si>
    <t>STM AI</t>
  </si>
  <si>
    <t>Structure preparation and integration</t>
  </si>
  <si>
    <t>Thermal preparation and integration</t>
  </si>
  <si>
    <t>Rendezvous payload preparation and integration</t>
  </si>
  <si>
    <t>STM V</t>
  </si>
  <si>
    <t>FlatSat AI&amp;T</t>
  </si>
  <si>
    <t>EM FlatSat AI&amp;T</t>
  </si>
  <si>
    <t>BB CDPI FlatSat integration and shipment</t>
  </si>
  <si>
    <t>PFM FlatSat AI&amp;T</t>
  </si>
  <si>
    <t>FM CDPI FlatSat integration and shipment</t>
  </si>
  <si>
    <t>End-to-end communication tests</t>
  </si>
  <si>
    <t>RV payload integration</t>
  </si>
  <si>
    <t>RV payload ground tests and validation</t>
  </si>
  <si>
    <t>C3</t>
  </si>
  <si>
    <t>PIL/HIL tests</t>
  </si>
  <si>
    <t>Sensor EPOS/GMV Robotic tests</t>
  </si>
  <si>
    <t>Capture tests</t>
  </si>
  <si>
    <t>Hardware qualification tests</t>
  </si>
  <si>
    <t>System PFM AI&amp;V</t>
  </si>
  <si>
    <t>PFM assembly, integration and tests</t>
  </si>
  <si>
    <t>PFM system environmental validation</t>
  </si>
  <si>
    <t>PFM AIV Support</t>
  </si>
  <si>
    <t>PFM Rendezvous payload AIV support</t>
  </si>
  <si>
    <t>Ground Segment</t>
  </si>
  <si>
    <t>Ground systems definition</t>
  </si>
  <si>
    <t>E1</t>
  </si>
  <si>
    <t>Ground systems requirements and definition</t>
  </si>
  <si>
    <t>Ground systems design</t>
  </si>
  <si>
    <t>Logistics support definition</t>
  </si>
  <si>
    <t>Ground and space-to-ground communication design and costing</t>
  </si>
  <si>
    <t>Ground systems production</t>
  </si>
  <si>
    <t>Ground stations preparation and operations</t>
  </si>
  <si>
    <t>E4</t>
  </si>
  <si>
    <t>Mission Control system</t>
  </si>
  <si>
    <t>PUS Service and packet definition</t>
  </si>
  <si>
    <t xml:space="preserve">RAMSES Customization and deployment </t>
  </si>
  <si>
    <t>Mission TM/TC database conversion</t>
  </si>
  <si>
    <t>Mission Archives database</t>
  </si>
  <si>
    <t>RV specific database</t>
  </si>
  <si>
    <t>Mission management and data processing system</t>
  </si>
  <si>
    <t>Mission planning and scheduling</t>
  </si>
  <si>
    <t>RV specific data processing tools implementation and verification</t>
  </si>
  <si>
    <t>Preliminary design</t>
  </si>
  <si>
    <t>Detailed design and implementation</t>
  </si>
  <si>
    <t>Verification</t>
  </si>
  <si>
    <t>Flight dynamics software - detailed design, I&amp;T</t>
  </si>
  <si>
    <t>Verification and validation</t>
  </si>
  <si>
    <t>Support to flight dynamics software verification/validation</t>
  </si>
  <si>
    <t>Communication system</t>
  </si>
  <si>
    <t>Preliminary defintion</t>
  </si>
  <si>
    <t>Detailed definition and implementation</t>
  </si>
  <si>
    <t>Mission Operations Centers</t>
  </si>
  <si>
    <t>ClearSpace MOC</t>
  </si>
  <si>
    <t>OHB support Centre</t>
  </si>
  <si>
    <t>Ground systems AI&amp;V</t>
  </si>
  <si>
    <t>Systems AI&amp;T</t>
  </si>
  <si>
    <t>Segment AI&amp;V</t>
  </si>
  <si>
    <t>RAMSES Training for AI&amp;V</t>
  </si>
  <si>
    <t>Ground systems maintenance and disposal</t>
  </si>
  <si>
    <t>Maintenance</t>
  </si>
  <si>
    <t>RAMSES maintenance</t>
  </si>
  <si>
    <t>Disposal</t>
  </si>
  <si>
    <t>Ground Observations</t>
  </si>
  <si>
    <t>E3</t>
  </si>
  <si>
    <t>Target precise orbit position determination</t>
  </si>
  <si>
    <t>Target precise attitude determination</t>
  </si>
  <si>
    <t>VESPUP operations support</t>
  </si>
  <si>
    <t>Space debris collission avoidance support</t>
  </si>
  <si>
    <t>Mission Operations</t>
  </si>
  <si>
    <t>Operations engineering</t>
  </si>
  <si>
    <t>E2</t>
  </si>
  <si>
    <t>Flight direction</t>
  </si>
  <si>
    <t>Configuration management</t>
  </si>
  <si>
    <t>Preparation activities</t>
  </si>
  <si>
    <t>Operations data production</t>
  </si>
  <si>
    <t>Flight Operation procedures support</t>
  </si>
  <si>
    <t>Operations data validation, scenario testing</t>
  </si>
  <si>
    <t>Training</t>
  </si>
  <si>
    <t>RAMSES Training</t>
  </si>
  <si>
    <t>Pre-launch activities</t>
  </si>
  <si>
    <t>Satellite shipping and launch site check out and preparation (FRR)</t>
  </si>
  <si>
    <t>Satellite check-up and preparation</t>
  </si>
  <si>
    <t>Operations execution activities</t>
  </si>
  <si>
    <t>FSw operations upgrades and maintenance</t>
  </si>
  <si>
    <t>LEOP and commissioning</t>
  </si>
  <si>
    <t>Mission planning</t>
  </si>
  <si>
    <t>Satellite operations</t>
  </si>
  <si>
    <t>OHB-Sweden On-site support</t>
  </si>
  <si>
    <t>Flight dynamics</t>
  </si>
  <si>
    <t>Experts</t>
  </si>
  <si>
    <t>Routine operations</t>
  </si>
  <si>
    <t>OHB-Sweden Off-site support</t>
  </si>
  <si>
    <t>Critical operations</t>
  </si>
  <si>
    <t>Disposal operations</t>
  </si>
  <si>
    <t>Mission Data Analyses</t>
  </si>
  <si>
    <t>GNC data analyses</t>
  </si>
  <si>
    <t>Capture system data analyses</t>
  </si>
  <si>
    <t>Contingency CH</t>
  </si>
  <si>
    <t>Contingency OHB</t>
  </si>
  <si>
    <t>Value</t>
  </si>
  <si>
    <t>-</t>
  </si>
  <si>
    <t>Contingency</t>
  </si>
  <si>
    <t>Duration</t>
  </si>
  <si>
    <t xml:space="preserve">Slant Range </t>
  </si>
  <si>
    <t xml:space="preserve">Frequency </t>
  </si>
  <si>
    <t>Parameter</t>
  </si>
  <si>
    <t xml:space="preserve">Value </t>
  </si>
  <si>
    <t>Unit</t>
  </si>
  <si>
    <t xml:space="preserve"> Value</t>
  </si>
  <si>
    <t>Min. elevation</t>
  </si>
  <si>
    <t>°</t>
  </si>
  <si>
    <t>S-band TM upper frequency</t>
  </si>
  <si>
    <t>GHz</t>
  </si>
  <si>
    <t>Max. elevation</t>
  </si>
  <si>
    <t>S-band TC upper frequency</t>
  </si>
  <si>
    <t>km</t>
  </si>
  <si>
    <t>ε: Elevation Angle</t>
  </si>
  <si>
    <t>R_e: Earth Radius</t>
  </si>
  <si>
    <t>a: Semi Major Axis</t>
  </si>
  <si>
    <t>D: Slant Range</t>
  </si>
  <si>
    <t>Orbit</t>
  </si>
  <si>
    <t xml:space="preserve">Semi-major axis </t>
  </si>
  <si>
    <t xml:space="preserve">Inclination </t>
  </si>
  <si>
    <t xml:space="preserve">Mean Local Time of Ascending Node: </t>
  </si>
  <si>
    <t xml:space="preserve">Eccentricity: </t>
  </si>
  <si>
    <t xml:space="preserve">Argument of pericentre </t>
  </si>
  <si>
    <t>Earth radius</t>
  </si>
  <si>
    <t xml:space="preserve">TC worst case </t>
  </si>
  <si>
    <t xml:space="preserve">TM worst case </t>
  </si>
  <si>
    <t>Notes</t>
  </si>
  <si>
    <t>LowRate</t>
  </si>
  <si>
    <t xml:space="preserve">GND </t>
  </si>
  <si>
    <t>SAT</t>
  </si>
  <si>
    <t xml:space="preserve">Tx Power </t>
  </si>
  <si>
    <t>dBW</t>
  </si>
  <si>
    <t xml:space="preserve">Total Transmission Line Losses </t>
  </si>
  <si>
    <t xml:space="preserve">dB </t>
  </si>
  <si>
    <t>Total Transmission Line</t>
  </si>
  <si>
    <t>Approx. 0.5m RF harness and Diplexer</t>
  </si>
  <si>
    <t xml:space="preserve">Tx Ant Gain </t>
  </si>
  <si>
    <t>dBi</t>
  </si>
  <si>
    <t>3dB Hybrid</t>
  </si>
  <si>
    <t>dB</t>
  </si>
  <si>
    <t xml:space="preserve">EIRP </t>
  </si>
  <si>
    <t>UPLINK</t>
  </si>
  <si>
    <t xml:space="preserve">FSPL </t>
  </si>
  <si>
    <t>DOWNLINK</t>
  </si>
  <si>
    <t xml:space="preserve">Athmospheric Loss </t>
  </si>
  <si>
    <t xml:space="preserve">SAT </t>
  </si>
  <si>
    <t>S/C antenna Gain</t>
  </si>
  <si>
    <t xml:space="preserve">K (Boltzmann) </t>
  </si>
  <si>
    <t>dBW/K*Hz</t>
  </si>
  <si>
    <t xml:space="preserve">GND Antenna Pointing Loss </t>
  </si>
  <si>
    <t xml:space="preserve">Antenna noise temperature </t>
  </si>
  <si>
    <t>K</t>
  </si>
  <si>
    <t>Receiver system noise temperature</t>
  </si>
  <si>
    <t>Equivalent Noise temperature</t>
  </si>
  <si>
    <t>dBHz</t>
  </si>
  <si>
    <t>dBK</t>
  </si>
  <si>
    <t>Channel Symbol Rate</t>
  </si>
  <si>
    <t>Eb/N0</t>
  </si>
  <si>
    <t>Required Eb/N0</t>
  </si>
  <si>
    <t>Link margin</t>
  </si>
  <si>
    <t>Mbps</t>
  </si>
  <si>
    <t>New Table 8 breakdown</t>
  </si>
  <si>
    <t xml:space="preserve">Industrial Price </t>
  </si>
  <si>
    <t>Economic Conditions</t>
  </si>
  <si>
    <t>Currency</t>
  </si>
  <si>
    <t>k€</t>
  </si>
  <si>
    <t>Year</t>
  </si>
  <si>
    <t>TOTAL</t>
  </si>
  <si>
    <t>VERIF</t>
  </si>
  <si>
    <t>Phase A</t>
  </si>
  <si>
    <t>Phase B</t>
  </si>
  <si>
    <t>Phase C</t>
  </si>
  <si>
    <t>Phase D</t>
  </si>
  <si>
    <t>Phase E/F</t>
  </si>
  <si>
    <t>T8 CODE</t>
  </si>
  <si>
    <t>Price Breakdown</t>
  </si>
  <si>
    <t>CAT</t>
  </si>
  <si>
    <t>TYPE</t>
  </si>
  <si>
    <t>CONC</t>
  </si>
  <si>
    <t>WP#</t>
  </si>
  <si>
    <t>Q</t>
  </si>
  <si>
    <t>Q1</t>
  </si>
  <si>
    <t>Q2</t>
  </si>
  <si>
    <t>Q3</t>
  </si>
  <si>
    <t>Q4</t>
  </si>
  <si>
    <t>Space Segment</t>
  </si>
  <si>
    <t>Milestone</t>
  </si>
  <si>
    <t>KO</t>
  </si>
  <si>
    <t>MSRR</t>
  </si>
  <si>
    <t>Spacecraft</t>
  </si>
  <si>
    <t>Project Office:</t>
  </si>
  <si>
    <t>Management</t>
  </si>
  <si>
    <t>Product Assurance</t>
  </si>
  <si>
    <t>(Project &amp; Mission) Engineering</t>
  </si>
  <si>
    <t>120000 140000 200000 310000</t>
  </si>
  <si>
    <t>Total Cost (k€)</t>
  </si>
  <si>
    <t>Flight Systems Engineering</t>
  </si>
  <si>
    <t>- 401422, 401423, 401520, 401533 to 401536</t>
  </si>
  <si>
    <t>(System level) Assembly, Integration and Testing,Verification</t>
  </si>
  <si>
    <r>
      <t xml:space="preserve">501000 520000 530000 </t>
    </r>
    <r>
      <rPr>
        <b/>
        <sz val="11"/>
        <color rgb="FFFF0000"/>
        <rFont val="Calibri (Body)"/>
      </rPr>
      <t>550000</t>
    </r>
  </si>
  <si>
    <t>includes OHB-Sweden</t>
  </si>
  <si>
    <t>Ground Segment Equipment</t>
  </si>
  <si>
    <t>includes OHB-Sweden (PGSE?), APCO</t>
  </si>
  <si>
    <t>Platform Module Hardware/Software (HW/SW)</t>
  </si>
  <si>
    <t>OB Flight Software</t>
  </si>
  <si>
    <t>FSW - Manpower (M/y) tech</t>
  </si>
  <si>
    <t>B12</t>
  </si>
  <si>
    <t>FSW - Manpower (M/y) mission</t>
  </si>
  <si>
    <t>Data Handling</t>
  </si>
  <si>
    <t>Data Handling - Engineering</t>
  </si>
  <si>
    <t>includes ADS</t>
  </si>
  <si>
    <t>B22</t>
  </si>
  <si>
    <t>Data Handling - HW procurements</t>
  </si>
  <si>
    <t>Electrical Power</t>
  </si>
  <si>
    <t>Electrical Power - Engineering and SW</t>
  </si>
  <si>
    <t>B32</t>
  </si>
  <si>
    <t>Electrical Power - HW procurements</t>
  </si>
  <si>
    <t>Communications</t>
  </si>
  <si>
    <t>Communications - Engineering and SW</t>
  </si>
  <si>
    <t>ADS CS</t>
  </si>
  <si>
    <t>B42</t>
  </si>
  <si>
    <t>Communications - HW procurements</t>
  </si>
  <si>
    <t>AOCS / GNC</t>
  </si>
  <si>
    <t>AOCS / GNC - Engineering and SW</t>
  </si>
  <si>
    <t>- OHB 450500, 450600, 450800, 45900</t>
  </si>
  <si>
    <t>B52</t>
  </si>
  <si>
    <t>AOCS / GNC - HW procurements</t>
  </si>
  <si>
    <t>Propulsion - Engineering</t>
  </si>
  <si>
    <t>OHB</t>
  </si>
  <si>
    <t>B62</t>
  </si>
  <si>
    <t>Propulsion - HW procurements</t>
  </si>
  <si>
    <t>Structure</t>
  </si>
  <si>
    <t>Structure - Engineering</t>
  </si>
  <si>
    <t xml:space="preserve"> 490100 to 49500</t>
  </si>
  <si>
    <t>- 490540</t>
  </si>
  <si>
    <t>B72</t>
  </si>
  <si>
    <t>Structure - HW</t>
  </si>
  <si>
    <t>Thermal Control</t>
  </si>
  <si>
    <t>Thermal Control - Engineering</t>
  </si>
  <si>
    <t>B82</t>
  </si>
  <si>
    <t>Thermal Control - HW</t>
  </si>
  <si>
    <t>Mechanisms &amp; harness</t>
  </si>
  <si>
    <t>Mechanisms - HW procurements</t>
  </si>
  <si>
    <t>+ 401422, 401423, 401520, 401533 to 401536</t>
  </si>
  <si>
    <t>Service Module HW/SW</t>
  </si>
  <si>
    <t>Rendezvous GNC, Sensors and Processing (RVSP)</t>
  </si>
  <si>
    <t>RVSP - Engineering and SW</t>
  </si>
  <si>
    <t>460100 to 460900 461000 41100to412000 461000 SYD +OHB 450500 450600 450800 450900</t>
  </si>
  <si>
    <t>RVSP - HW procurements</t>
  </si>
  <si>
    <t>460100 to 460900 461000  SYD</t>
  </si>
  <si>
    <t>Capture System (CS)</t>
  </si>
  <si>
    <t>CS - Engineering and SW</t>
  </si>
  <si>
    <t>CS EPFL</t>
  </si>
  <si>
    <t>C22</t>
  </si>
  <si>
    <t>CS - HW procurements</t>
  </si>
  <si>
    <t>Service Module Validation</t>
  </si>
  <si>
    <t>Risk Contingency (e.g. Technical, Management Reserve)</t>
  </si>
  <si>
    <t>Launcher</t>
  </si>
  <si>
    <t>Ground Segment &amp; Operations</t>
  </si>
  <si>
    <t>Ground Control Centre Development</t>
  </si>
  <si>
    <t>610000 62000-620100 INCL. OHB 630000</t>
  </si>
  <si>
    <t>710000 720000 730000 740000 750000 640000</t>
  </si>
  <si>
    <t>Ground observations &amp; tools</t>
  </si>
  <si>
    <t>Ground Stations</t>
  </si>
  <si>
    <t>E5</t>
  </si>
  <si>
    <t>Ground Segment - Procurement</t>
  </si>
  <si>
    <t>F</t>
  </si>
  <si>
    <t>TOT EX Contingency</t>
  </si>
  <si>
    <t>TOT with contingency</t>
  </si>
  <si>
    <t>ManpowerSOR submission stretch</t>
  </si>
  <si>
    <t>ManpowerSOR submission stretch additional manpower</t>
  </si>
  <si>
    <t>501000 520000 530000 550000</t>
  </si>
  <si>
    <t xml:space="preserve">ADS WP to see </t>
  </si>
  <si>
    <t>CDPI</t>
  </si>
  <si>
    <t>Combine &amp; call CDPI</t>
  </si>
  <si>
    <t>Mechanisms</t>
  </si>
  <si>
    <t>included in Flight SE and Ground Control Center Development</t>
  </si>
  <si>
    <t>From Airbus email</t>
  </si>
  <si>
    <t>SOR SUBMED</t>
  </si>
  <si>
    <t>2020 Q1</t>
  </si>
  <si>
    <t>2020 Q2</t>
  </si>
  <si>
    <t>2020 Q3</t>
  </si>
  <si>
    <t>2020 Q4</t>
  </si>
  <si>
    <t>2021 Q1</t>
  </si>
  <si>
    <t>2021 Q2</t>
  </si>
  <si>
    <t>2021 Q3</t>
  </si>
  <si>
    <t>2021 Q4</t>
  </si>
  <si>
    <t>2022 Q1</t>
  </si>
  <si>
    <t>2022 Q2</t>
  </si>
  <si>
    <t>2022 Q3</t>
  </si>
  <si>
    <t>2022 Q4</t>
  </si>
  <si>
    <t>Euro, not K€!</t>
  </si>
  <si>
    <t>Launch Shift to 2025</t>
  </si>
  <si>
    <t>2023 Q1</t>
  </si>
  <si>
    <t>T8 Description</t>
  </si>
  <si>
    <t>LEVEL</t>
  </si>
  <si>
    <t>WP element #</t>
  </si>
  <si>
    <t xml:space="preserve">Development (Design and Manufacture) </t>
  </si>
  <si>
    <t>S1</t>
  </si>
  <si>
    <t>S2</t>
  </si>
  <si>
    <t xml:space="preserve">Project Office </t>
  </si>
  <si>
    <t>120400.1
420000.1
430000.1
440200.1</t>
  </si>
  <si>
    <t>Engineering:
- System Engineering
- Functional and Verification Engineering
- Mechanical Engineering (OBC housing)
- Electrical Engineering</t>
  </si>
  <si>
    <t>42 total</t>
  </si>
  <si>
    <t>43 no HW</t>
  </si>
  <si>
    <t>43 total</t>
  </si>
  <si>
    <t>44 no HW</t>
  </si>
  <si>
    <t>44 total</t>
  </si>
  <si>
    <t>530000.1</t>
  </si>
  <si>
    <t>Assembly, Integration and Testing, and Verification</t>
  </si>
  <si>
    <t>53 total</t>
  </si>
  <si>
    <t>Ground Support Equipment</t>
  </si>
  <si>
    <t>CDPI + Transceiver + Battery</t>
  </si>
  <si>
    <t>High Level sub-element</t>
  </si>
  <si>
    <t>430000.1</t>
  </si>
  <si>
    <t>CDPI/CPU boards</t>
  </si>
  <si>
    <t>CDPI/peripherie boards</t>
  </si>
  <si>
    <t>CDPI/MMU</t>
  </si>
  <si>
    <t>CDPI/PCDU</t>
  </si>
  <si>
    <t>420000.1</t>
  </si>
  <si>
    <t>CDPI/power converter boards</t>
  </si>
  <si>
    <t>Battery</t>
  </si>
  <si>
    <t>440200.1</t>
  </si>
  <si>
    <t>Transceiver + antennas</t>
  </si>
  <si>
    <t>Subassembly harness</t>
  </si>
  <si>
    <t>CDPI/OBC Housing</t>
  </si>
  <si>
    <t>Launch Shift</t>
  </si>
  <si>
    <t xml:space="preserve">System Engineering
</t>
  </si>
  <si>
    <t>Functional and Verification Engineering</t>
  </si>
  <si>
    <t>Mechanical Engineering (OBC housing)</t>
  </si>
  <si>
    <t>Electrical Engineering</t>
  </si>
  <si>
    <t>TOTAL SUBMITTED</t>
  </si>
  <si>
    <t>FTE hours/ Year</t>
  </si>
  <si>
    <t>2020 II</t>
  </si>
  <si>
    <t>2020 III</t>
  </si>
  <si>
    <t>2020 IV</t>
  </si>
  <si>
    <t>2021 I</t>
  </si>
  <si>
    <t>2021 II</t>
  </si>
  <si>
    <t>2021 III</t>
  </si>
  <si>
    <t>2021 IV</t>
  </si>
  <si>
    <t>2022 I</t>
  </si>
  <si>
    <t>L2024</t>
  </si>
  <si>
    <t>CA T E G O R Y</t>
  </si>
  <si>
    <t>WP TOTAL</t>
  </si>
  <si>
    <t>2022 II</t>
  </si>
  <si>
    <t>2022 III</t>
  </si>
  <si>
    <t>2022 IV</t>
  </si>
  <si>
    <t>L2025</t>
  </si>
  <si>
    <t>TOTAL DIRECT LABOUR HOURS</t>
  </si>
  <si>
    <t>1. TOTAL DIRECT LABOUR COSTS</t>
  </si>
  <si>
    <t>2. INT. SPECIAL FACILITIES</t>
  </si>
  <si>
    <t>OTHER COST ELEMENTS</t>
  </si>
  <si>
    <t>3.1 - 3.4 MATERIAL COST</t>
  </si>
  <si>
    <t>3.5 HIREL-PARTS</t>
  </si>
  <si>
    <t>3.6 EXT. MAJOR PRODUCTS</t>
  </si>
  <si>
    <t>3.7 EXTERNAL SERVICES</t>
  </si>
  <si>
    <t>3.8 TRANSPORT/INSURANCE</t>
  </si>
  <si>
    <t>3.9 TRAVELS</t>
  </si>
  <si>
    <t>3.10 MISCELLANEOUS</t>
  </si>
  <si>
    <t>3. TOTAL OTHER DIRECT COST</t>
  </si>
  <si>
    <t>5.-7. GENERAL EXPENSES</t>
  </si>
  <si>
    <t>8. TOTAL COST OF ALL WPS</t>
  </si>
  <si>
    <t>9. OVERHEADS ON SUBCONTRACTORS</t>
  </si>
  <si>
    <t>10. * SUB - TOTAL (1. TO 9.)</t>
  </si>
  <si>
    <t>11. PROFIT ON SUB-TOTAL (10.)</t>
  </si>
  <si>
    <t>12. COST WITHOUT ADD. CHARGE</t>
  </si>
  <si>
    <t>13. ** TOTAL COMPANY PRICE</t>
  </si>
  <si>
    <t>14. SUB - CONTRACTS</t>
  </si>
  <si>
    <t>15. *** GRAND TOTAL PRICE (LC)</t>
  </si>
  <si>
    <t>please specify currency</t>
  </si>
  <si>
    <t>Exchange Rate</t>
  </si>
  <si>
    <t>CHF/EUR</t>
  </si>
  <si>
    <t>START</t>
  </si>
  <si>
    <t>T8 code</t>
  </si>
  <si>
    <t>T8 descr</t>
  </si>
  <si>
    <t>END</t>
  </si>
  <si>
    <t xml:space="preserve">R&amp;D for precise orbit determination </t>
  </si>
  <si>
    <t>manpower</t>
  </si>
  <si>
    <t xml:space="preserve">R&amp;D for precise attitude determination </t>
  </si>
  <si>
    <t xml:space="preserve">VESPUP mission design support </t>
  </si>
  <si>
    <t xml:space="preserve">Space debris collision avoidance </t>
  </si>
  <si>
    <t>TOT</t>
  </si>
  <si>
    <t>A-D ORR</t>
  </si>
  <si>
    <t>A MSSR - D FRR</t>
  </si>
  <si>
    <t>E</t>
  </si>
  <si>
    <t>A-E</t>
  </si>
  <si>
    <t>PERIOD</t>
  </si>
  <si>
    <t xml:space="preserve"> Space debris collision avoidance </t>
  </si>
  <si>
    <t>Hours</t>
  </si>
  <si>
    <t>MS</t>
  </si>
  <si>
    <t>RM</t>
  </si>
  <si>
    <t>CRR</t>
  </si>
  <si>
    <t>MCR</t>
  </si>
  <si>
    <t>Labour Cost</t>
  </si>
  <si>
    <t>EXP</t>
  </si>
  <si>
    <t>CUM</t>
  </si>
  <si>
    <t>Internal facilities cost</t>
  </si>
  <si>
    <t>Telescope time (ZIMLAT, ZimMAIN, ZimTWIN); 50 nights</t>
  </si>
  <si>
    <t>PMT</t>
  </si>
  <si>
    <t>TOT Direct Cost</t>
  </si>
  <si>
    <t>TOT EUR</t>
  </si>
  <si>
    <t>BAL</t>
  </si>
  <si>
    <t>HOURS</t>
  </si>
  <si>
    <t>FTE given</t>
  </si>
  <si>
    <t>FTE calc</t>
  </si>
  <si>
    <t>VESPUP APCO Work Packages</t>
  </si>
  <si>
    <t xml:space="preserve">Project Management (Aver.) = </t>
  </si>
  <si>
    <t>Engineers (Aver.) =</t>
  </si>
  <si>
    <t>Gross Hourly Rate in Euro in 2019 E.C.</t>
  </si>
  <si>
    <t>Travel and profit should be folded in "cost for hours"</t>
  </si>
  <si>
    <t>Include escalation in "cost for hours"</t>
  </si>
  <si>
    <t>Contingencies can be folded in or not, please specify</t>
  </si>
  <si>
    <t>Phase 1</t>
  </si>
  <si>
    <t xml:space="preserve">Q3 </t>
  </si>
  <si>
    <t>Total (kEuro) =</t>
  </si>
  <si>
    <t>Modified by MR 04.09.2019</t>
  </si>
  <si>
    <t>mech STM moved to 2020Q3</t>
  </si>
  <si>
    <t>PFM  moved to 2023Q1</t>
  </si>
  <si>
    <t xml:space="preserve">Work Package no </t>
  </si>
  <si>
    <t>&amp; Description</t>
  </si>
  <si>
    <t>T8 Desc</t>
  </si>
  <si>
    <t>WP 110000</t>
  </si>
  <si>
    <t>Project extended - 2 quarter not quoted</t>
  </si>
  <si>
    <t>Project Managment</t>
  </si>
  <si>
    <t>hours</t>
  </si>
  <si>
    <t>cost for hours (kEUR)</t>
  </si>
  <si>
    <t>external costs/procurement (kEUR)</t>
  </si>
  <si>
    <t>sum (kEUR)</t>
  </si>
  <si>
    <t>WP 130000</t>
  </si>
  <si>
    <t>Project extended - 1 quarter not quoted</t>
  </si>
  <si>
    <t>?</t>
  </si>
  <si>
    <t>WP 310000</t>
  </si>
  <si>
    <t>Launch specifications</t>
  </si>
  <si>
    <t>WP 490000</t>
  </si>
  <si>
    <t>Platform mechanical systems</t>
  </si>
  <si>
    <t>STM Tests @OHB</t>
  </si>
  <si>
    <t>Provision for refurbishment only, as previously agreed</t>
  </si>
  <si>
    <t>WP 510000</t>
  </si>
  <si>
    <t>Engineering only, MAIT in New Member states</t>
  </si>
  <si>
    <t>Ground support equipment</t>
  </si>
  <si>
    <t>WP 540000</t>
  </si>
  <si>
    <t>moved back of 1 Q</t>
  </si>
  <si>
    <t>AIV support only</t>
  </si>
  <si>
    <t>QM/FM integration</t>
  </si>
  <si>
    <t>Expected Payment Milestones (from ClearSpace to APCO-Tech)</t>
  </si>
  <si>
    <t>Milestone:</t>
  </si>
  <si>
    <t xml:space="preserve">Example: </t>
  </si>
  <si>
    <t>STM delivery</t>
  </si>
  <si>
    <t xml:space="preserve">Payment in k€: </t>
  </si>
  <si>
    <t>Exchange rate CHF/EUR</t>
  </si>
  <si>
    <t>TOT CHF @ SOR Submission</t>
  </si>
  <si>
    <t>Months</t>
  </si>
  <si>
    <t>PHASE A</t>
  </si>
  <si>
    <t>PHASE B</t>
  </si>
  <si>
    <t>PHASE C</t>
  </si>
  <si>
    <t>PHASE D</t>
  </si>
  <si>
    <t>PHASE E/F</t>
  </si>
  <si>
    <t>T8 Descr</t>
  </si>
  <si>
    <t>T8 type</t>
  </si>
  <si>
    <t>06/2020-04/2021</t>
  </si>
  <si>
    <t>04/2021-05/2022</t>
  </si>
  <si>
    <t>05/2022-05/2023</t>
  </si>
  <si>
    <t>05/2023-11/2024</t>
  </si>
  <si>
    <t>CHF</t>
  </si>
  <si>
    <t xml:space="preserve">PM </t>
  </si>
  <si>
    <t xml:space="preserve">PA / QA </t>
  </si>
  <si>
    <t xml:space="preserve">Launch Spec. </t>
  </si>
  <si>
    <t xml:space="preserve">P/F Mech. </t>
  </si>
  <si>
    <t xml:space="preserve">GSE Dec. </t>
  </si>
  <si>
    <t>AIV Suppor</t>
  </si>
  <si>
    <t>travel</t>
  </si>
  <si>
    <t>profit</t>
  </si>
  <si>
    <t>From PSS</t>
  </si>
  <si>
    <t>Exchange rate</t>
  </si>
  <si>
    <t>FTE Hours/Year</t>
  </si>
  <si>
    <t>TOT WBS</t>
  </si>
  <si>
    <t>TOTCOST CHF</t>
  </si>
  <si>
    <t>TOT COST EUR</t>
  </si>
  <si>
    <t>Gross H rate</t>
  </si>
  <si>
    <t>PROJECT MANAGER</t>
  </si>
  <si>
    <t>SYSTEM ENGINEER</t>
  </si>
  <si>
    <t>PRODUCT ASSURANCE ENGINEER</t>
  </si>
  <si>
    <t>MECHANICAL ANALYSIS ENGINEER</t>
  </si>
  <si>
    <t xml:space="preserve"> THERMAL ANALYSIS ENGINEER</t>
  </si>
  <si>
    <t xml:space="preserve">MECHANICAL ENGINEER </t>
  </si>
  <si>
    <t>ELECTRICAL ENGINEER</t>
  </si>
  <si>
    <t xml:space="preserve">DRAUGHTSMAN </t>
  </si>
  <si>
    <t xml:space="preserve">PURCHASING </t>
  </si>
  <si>
    <t xml:space="preserve">QUALITY ASSURANCE ENGINEER </t>
  </si>
  <si>
    <t xml:space="preserve">QUALITY CONTROL </t>
  </si>
  <si>
    <t>WORKSHOP OPERATOR</t>
  </si>
  <si>
    <t>TOT DIRECT LABOUR HOURS</t>
  </si>
  <si>
    <t>TOT DIRECT LABOUR COST</t>
  </si>
  <si>
    <t>OTHER DIRECT COST</t>
  </si>
  <si>
    <t>Material Cost</t>
  </si>
  <si>
    <t xml:space="preserve">External Major Products </t>
  </si>
  <si>
    <t xml:space="preserve">Transport and Insurances </t>
  </si>
  <si>
    <t>Travel and Subsistence</t>
  </si>
  <si>
    <t xml:space="preserve">Miscellaneous </t>
  </si>
  <si>
    <t xml:space="preserve">Total Other Direct Cost </t>
  </si>
  <si>
    <t xml:space="preserve">SUB-TOTAL DIRECT COST </t>
  </si>
  <si>
    <t xml:space="preserve">PROFIT </t>
  </si>
  <si>
    <t>4 264 990.4 8.0%</t>
  </si>
  <si>
    <t xml:space="preserve">TOTAL PRICE FOR ESA </t>
  </si>
  <si>
    <t>PROC &lt;EUR</t>
  </si>
  <si>
    <t>Start period</t>
  </si>
  <si>
    <t>End period</t>
  </si>
  <si>
    <t>Total amount
in KEUR</t>
  </si>
  <si>
    <t>COST TYPE</t>
  </si>
  <si>
    <t>LABOUR COST</t>
  </si>
  <si>
    <t>WP110700</t>
  </si>
  <si>
    <t>LABOUR HOURS</t>
  </si>
  <si>
    <t>WP401700</t>
  </si>
  <si>
    <t>MBSE VESPUP Model</t>
  </si>
  <si>
    <t>WP460201</t>
  </si>
  <si>
    <t>Synthetic images database</t>
  </si>
  <si>
    <t/>
  </si>
  <si>
    <t>WP460202</t>
  </si>
  <si>
    <t>6DoF target pose estimation algorithms</t>
  </si>
  <si>
    <t>WP460203</t>
  </si>
  <si>
    <t>FPGA based vision algorithms implementation</t>
  </si>
  <si>
    <t>WP480311</t>
  </si>
  <si>
    <t>WP480411</t>
  </si>
  <si>
    <t>Capture dynamic contact simulator and analyses</t>
  </si>
  <si>
    <t>WP480212A</t>
  </si>
  <si>
    <t>Miniaturized proximity sensor - system and signal processing</t>
  </si>
  <si>
    <t>WP480212B</t>
  </si>
  <si>
    <t>Miniaturized proximity sensor - antenna</t>
  </si>
  <si>
    <t>Total</t>
  </si>
  <si>
    <t>Taken off to be offset</t>
  </si>
  <si>
    <t>paid by Innosuisse up tp Sept 2010</t>
  </si>
  <si>
    <t>starting 09.2019 paid until 09.2020</t>
  </si>
  <si>
    <t>PMT PLAN</t>
  </si>
  <si>
    <t>Period</t>
  </si>
  <si>
    <t>Start [MM-YY]</t>
  </si>
  <si>
    <t>01-00</t>
  </si>
  <si>
    <t>End [MM-YY]</t>
  </si>
  <si>
    <t>Milestones</t>
  </si>
  <si>
    <t>TRR</t>
  </si>
  <si>
    <t>TPDR</t>
  </si>
  <si>
    <t>TCDR</t>
  </si>
  <si>
    <t>FR</t>
  </si>
  <si>
    <t>Payment Plan Per Period in %</t>
  </si>
  <si>
    <t>in %</t>
  </si>
  <si>
    <t>"Payment Plan Per Period in EURO"</t>
  </si>
  <si>
    <t>224 400</t>
  </si>
  <si>
    <t>448 800</t>
  </si>
  <si>
    <t>673 200</t>
  </si>
  <si>
    <t>2 246 000</t>
  </si>
  <si>
    <t>in EURO</t>
  </si>
  <si>
    <t>Phase E</t>
  </si>
  <si>
    <t>Manpower to Start in Q2</t>
  </si>
  <si>
    <t>procurement in Q3</t>
  </si>
  <si>
    <t xml:space="preserve">460100 to 460900 461000 41100to412000 461000 SYD </t>
  </si>
  <si>
    <t>460100 to 460900 461000 41100to412000 461000 SYD</t>
  </si>
  <si>
    <t>CS EPFL RUAG</t>
  </si>
  <si>
    <t>Ground Control Centre Operations</t>
  </si>
  <si>
    <t>TOT CH</t>
  </si>
  <si>
    <t>TO CH EX Contingency</t>
  </si>
  <si>
    <t>CH Contingency</t>
  </si>
  <si>
    <t>Airbus Contingency</t>
  </si>
  <si>
    <t>OHB Contingency</t>
  </si>
  <si>
    <t>Arianespace Contingency</t>
  </si>
  <si>
    <t>Colour Code</t>
  </si>
  <si>
    <t>WP per period of 6 months</t>
  </si>
  <si>
    <t>VESPUP Planning updates - 29-08-2019</t>
  </si>
  <si>
    <t>Labour Hourly Rate</t>
  </si>
  <si>
    <t>Mgm, PA, Mission Analysis, GNC S/S, Propulsion S/S, Sat STM&amp;PFM AIT, Ground Segment, Preparation&amp;Operation Support  (Work Area) per period of 6 months</t>
  </si>
  <si>
    <t>Sum of each Work Area or all Work Areas for the total contract period</t>
  </si>
  <si>
    <t>Sum of each Work Area or all Work Areas for the total contract period with 10 %</t>
  </si>
  <si>
    <t>Total sum per period of 6 months</t>
  </si>
  <si>
    <t>Payment Plan Data</t>
  </si>
  <si>
    <t>Procurement Plan/Supplier Costs</t>
  </si>
  <si>
    <t>KPG 1</t>
  </si>
  <si>
    <t>KPG 2</t>
  </si>
  <si>
    <t>KPG 3</t>
  </si>
  <si>
    <t>KPG 4</t>
  </si>
  <si>
    <t>H12020</t>
  </si>
  <si>
    <t>H22020</t>
  </si>
  <si>
    <t>H12021</t>
  </si>
  <si>
    <t>H22021</t>
  </si>
  <si>
    <t>H12022</t>
  </si>
  <si>
    <t>H22022</t>
  </si>
  <si>
    <t>H12023</t>
  </si>
  <si>
    <t>H22023</t>
  </si>
  <si>
    <t>H12024</t>
  </si>
  <si>
    <t>H22024</t>
  </si>
  <si>
    <t>H12025</t>
  </si>
  <si>
    <t>H22025</t>
  </si>
  <si>
    <t>D/E</t>
  </si>
  <si>
    <t>Please scroll to the right</t>
  </si>
  <si>
    <t xml:space="preserve"> Changes</t>
  </si>
  <si>
    <t xml:space="preserve">Project Management = </t>
  </si>
  <si>
    <t>Engineers=</t>
  </si>
  <si>
    <t>WP Descr.</t>
  </si>
  <si>
    <t>WP 110200</t>
  </si>
  <si>
    <t>CS: Start Q2/2020
OHB SWE:  Start from Feb KO</t>
  </si>
  <si>
    <t>Management &amp; Reporting</t>
  </si>
  <si>
    <t>WP no: 110200</t>
  </si>
  <si>
    <t>travel (kEUR)</t>
  </si>
  <si>
    <t>WP 130220</t>
  </si>
  <si>
    <t>CS: Start Q4/2020
OHB SWE: OK</t>
  </si>
  <si>
    <t>WP no: 130220</t>
  </si>
  <si>
    <t>S/W PA</t>
  </si>
  <si>
    <t>WP 130210</t>
  </si>
  <si>
    <t>CS: Start Q4/2020
OHBSWE: OK</t>
  </si>
  <si>
    <t>WP no: 130210</t>
  </si>
  <si>
    <t>H/W and AIT PA</t>
  </si>
  <si>
    <t>PA Sum</t>
  </si>
  <si>
    <t>external costs/procurement (kUR)</t>
  </si>
  <si>
    <t>WP 210300</t>
  </si>
  <si>
    <t>CS: Start Q2/2020 to KPG1
Per: Feb 2020 - sep 2020</t>
  </si>
  <si>
    <t>WP no: 210300</t>
  </si>
  <si>
    <t xml:space="preserve">Mission Analysis/ Design </t>
  </si>
  <si>
    <t>WP 450100</t>
  </si>
  <si>
    <t>CS: Start Q2/2020 till KPG1. Stretch to 9M instead of 6M
Per: June 2020 - Okt 2020</t>
  </si>
  <si>
    <t>WP no: 450100</t>
  </si>
  <si>
    <t>GNC Req. &amp; Eng.</t>
  </si>
  <si>
    <t>WP 450200</t>
  </si>
  <si>
    <t>CS: Start Q2/2020 till KPG1
Per: Jul 2020 - Okt 2020</t>
  </si>
  <si>
    <t>WP no: 450200</t>
  </si>
  <si>
    <t>GNC Prel. Design</t>
  </si>
  <si>
    <t>WP 450300</t>
  </si>
  <si>
    <t>CS: From KPG1
Per: Nov 2020 - Sep 2021</t>
  </si>
  <si>
    <t>WP no: 450300</t>
  </si>
  <si>
    <t>GNC System Eng. DD</t>
  </si>
  <si>
    <t>sum(kEUR)</t>
  </si>
  <si>
    <t>WP 450400</t>
  </si>
  <si>
    <t>CS: from KPG1 or earlier?
PER: Okt 2020 - Jan 2022</t>
  </si>
  <si>
    <t>WP no: 450400</t>
  </si>
  <si>
    <t>GNC DD</t>
  </si>
  <si>
    <t>cost for hours(kEUR)</t>
  </si>
  <si>
    <t>WP 450510</t>
  </si>
  <si>
    <t>CS: OK?
Per: Nov 2020 - Mar 2021</t>
  </si>
  <si>
    <t>WP no: 450510</t>
  </si>
  <si>
    <t>GNC SW Arch. Design</t>
  </si>
  <si>
    <t>WP 450520</t>
  </si>
  <si>
    <t>CS: 
Per: March 2021 -  June 2022</t>
  </si>
  <si>
    <t>WP no: 450520</t>
  </si>
  <si>
    <t>GNC SW DD and Unit Test</t>
  </si>
  <si>
    <t>U. Test</t>
  </si>
  <si>
    <t>WP 450530</t>
  </si>
  <si>
    <t>CS: 
Per: June 2022 - Nov 2022</t>
  </si>
  <si>
    <t>WP no: 450530</t>
  </si>
  <si>
    <t>GNC SW Scenario Tests</t>
  </si>
  <si>
    <t>WP 450610</t>
  </si>
  <si>
    <t>CS: 
Per: Okt 2020 -  May 2022</t>
  </si>
  <si>
    <t>WP no: 450610</t>
  </si>
  <si>
    <t>GNC-level MIL/SIL Sim.</t>
  </si>
  <si>
    <t>WP 450620</t>
  </si>
  <si>
    <t>WP no: 450620</t>
  </si>
  <si>
    <t>GNC Inputs to PIL-S.</t>
  </si>
  <si>
    <t>WP 450630</t>
  </si>
  <si>
    <t>CS: This one we are pushing to the right…
Per: De 2020 - Dec  2022</t>
  </si>
  <si>
    <t>WP no: 450630</t>
  </si>
  <si>
    <t>GNC Inputs to HIL-sim.</t>
  </si>
  <si>
    <t>WP 450700</t>
  </si>
  <si>
    <t>CS: Please check viability &amp; accuracy
Per: Dec 2020 - Sep 2022</t>
  </si>
  <si>
    <t>WP no: 450700</t>
  </si>
  <si>
    <t>GNC Equip. Proc.</t>
  </si>
  <si>
    <t>WP 450800</t>
  </si>
  <si>
    <t>CS: Please check viability &amp; accuracy
Per: Mar 2021 - June 2022</t>
  </si>
  <si>
    <t>WP no: 450800</t>
  </si>
  <si>
    <t>GNC Verification</t>
  </si>
  <si>
    <t>WP 450900</t>
  </si>
  <si>
    <t>CS: This one we are pushing to the right… but please advise
Per: Jul 2022 -  Sep 2024</t>
  </si>
  <si>
    <t>WP no: 450900</t>
  </si>
  <si>
    <t>GNC AIV Support</t>
  </si>
  <si>
    <t>sum ( kEUR)</t>
  </si>
  <si>
    <t>GNC S/S</t>
  </si>
  <si>
    <t>external costs/procurement cost (kEUR)</t>
  </si>
  <si>
    <t>travle (kEUR)</t>
  </si>
  <si>
    <t>WP 470100</t>
  </si>
  <si>
    <t>Alain confirmed</t>
  </si>
  <si>
    <t>WP no: 470100</t>
  </si>
  <si>
    <t>Propulsion S/S Def.</t>
  </si>
  <si>
    <t>WP 470210</t>
  </si>
  <si>
    <t>WP no: 470210</t>
  </si>
  <si>
    <t>Propulsion Design Consolidation &amp;Analysis</t>
  </si>
  <si>
    <t>Propulsion Design</t>
  </si>
  <si>
    <t>Consolidation &amp;Analysis</t>
  </si>
  <si>
    <t>WP 470220</t>
  </si>
  <si>
    <t>WP no: 470220</t>
  </si>
  <si>
    <t>Electrical I/F and Engineering Model Design</t>
  </si>
  <si>
    <t>Electrical I/F and</t>
  </si>
  <si>
    <t>Engineering Model Design</t>
  </si>
  <si>
    <t>travel ( kEUR)</t>
  </si>
  <si>
    <t>WP 470230</t>
  </si>
  <si>
    <t>WP no: 470230</t>
  </si>
  <si>
    <t>Performance and Analysis</t>
  </si>
  <si>
    <t>WP 470300</t>
  </si>
  <si>
    <t>WP no: 470300</t>
  </si>
  <si>
    <t>STM Design, manufact. and testing</t>
  </si>
  <si>
    <t>STM Design, manufact.</t>
  </si>
  <si>
    <t>and testing</t>
  </si>
  <si>
    <t>WP 470410</t>
  </si>
  <si>
    <t>WP no: 470410</t>
  </si>
  <si>
    <t>PFM Procedures, Tooling, Fixture, MGSE Design &amp; Manufacture</t>
  </si>
  <si>
    <t xml:space="preserve">PFM Procedures, Tooling, </t>
  </si>
  <si>
    <t>Fixture, MGSE Design &amp;</t>
  </si>
  <si>
    <t>Manufacture</t>
  </si>
  <si>
    <t>WP 470420</t>
  </si>
  <si>
    <t>WP no: 470420</t>
  </si>
  <si>
    <t>EM and EGSE</t>
  </si>
  <si>
    <t>WP 470430</t>
  </si>
  <si>
    <t>WP no: 470430</t>
  </si>
  <si>
    <t>PFM AI</t>
  </si>
  <si>
    <t>WP 470510</t>
  </si>
  <si>
    <t>WP no: 470510</t>
  </si>
  <si>
    <t>S/S Verification and Test</t>
  </si>
  <si>
    <t>Plan</t>
  </si>
  <si>
    <t>WP 470520</t>
  </si>
  <si>
    <t>WP no: 470520</t>
  </si>
  <si>
    <t>GSE Design and Manuf.</t>
  </si>
  <si>
    <t>WP 470530</t>
  </si>
  <si>
    <t>WP no: 470530</t>
  </si>
  <si>
    <t>PFM Testing</t>
  </si>
  <si>
    <t>cost for hours</t>
  </si>
  <si>
    <t>WP 472540</t>
  </si>
  <si>
    <t>WP no: 472540</t>
  </si>
  <si>
    <t>WP 470550</t>
  </si>
  <si>
    <t>WP no: 470550</t>
  </si>
  <si>
    <t>PFM Sub assembly manuf. and test incl. Piping</t>
  </si>
  <si>
    <t>PFM Sub assembly manuf.</t>
  </si>
  <si>
    <t>and test incl. piping</t>
  </si>
  <si>
    <t>WP 470560</t>
  </si>
  <si>
    <t>WP no: 470560</t>
  </si>
  <si>
    <t>Equipment Procurement</t>
  </si>
  <si>
    <t>Propulsion S/S</t>
  </si>
  <si>
    <t>WP 510100</t>
  </si>
  <si>
    <t>CS: OK to push to the right, or is it needed for the STM or other?
Mia: OK, EGSE should only be needed for PFM AIT</t>
  </si>
  <si>
    <t>WP no: 510100</t>
  </si>
  <si>
    <t>Acquisition of EGSE</t>
  </si>
  <si>
    <t>external costs/procurement(kEUR)</t>
  </si>
  <si>
    <t>WP 520200</t>
  </si>
  <si>
    <t>CS: Shifted BACK from H12022 to H2 2021
Mia: OK</t>
  </si>
  <si>
    <t>WP no: 520200</t>
  </si>
  <si>
    <t>Sat STM A&amp;I</t>
  </si>
  <si>
    <t>WP 490440</t>
  </si>
  <si>
    <t>CS: Shifted BACK from H1 2022 to H22022
Mia: OK</t>
  </si>
  <si>
    <t>Wp no:490440</t>
  </si>
  <si>
    <t>Sat STM Environmental testing</t>
  </si>
  <si>
    <t>Sat STM Environmental</t>
  </si>
  <si>
    <t>Testing</t>
  </si>
  <si>
    <t>WP 550100</t>
  </si>
  <si>
    <t>CS: Shifted a bit to the right
Mia: OK, but I count that PFM AIT margin is included, so in fact it will be ready before end Q3 2024</t>
  </si>
  <si>
    <t>WP no: 550100</t>
  </si>
  <si>
    <t>Sat PFM A&amp;I</t>
  </si>
  <si>
    <t>WP 550200</t>
  </si>
  <si>
    <t>CS: Shrunk to 6M instead of 12M and shifted to right
Mia: Ok if PFM AIT is finished before Q3. PFM needs to be ready for start of test. 215 h for testing is too small. Moved hours from Q3 to Q4 to have 500h in Q4.</t>
  </si>
  <si>
    <t>WP no: 550200</t>
  </si>
  <si>
    <t>PFM Environmental Test Camp.</t>
  </si>
  <si>
    <t>WP 730100/200</t>
  </si>
  <si>
    <t>CS: Shrunk to 6M instead of 12M and shifted to right
Mia: Same as above, PFM test needs to be finalised to start packing and shipping. Too many hours cumulated for OHB Sweden in Q4 2024. Moved hours from Q4 to Q1 to have 902 h in Q1.</t>
  </si>
  <si>
    <t>WP no: 730100,730200</t>
  </si>
  <si>
    <t>Phase E Launch Campaign</t>
  </si>
  <si>
    <t>Launch Campaign</t>
  </si>
  <si>
    <t>Sat STM and PFM AIT</t>
  </si>
  <si>
    <t>WP 620220</t>
  </si>
  <si>
    <t>CS: Shifted a bit to the left
Niklas A: Added 3months at start to allow pre-development to support CDPI EM. Total hours unchanged</t>
  </si>
  <si>
    <t>WP no: 620220</t>
  </si>
  <si>
    <t>RAMSES Customization</t>
  </si>
  <si>
    <t>WP 620230</t>
  </si>
  <si>
    <t>CS: This WP we need to start early to have the MCS available for the CDPI EM
Niklas A: Confirmed OK</t>
  </si>
  <si>
    <t>WP no: 620230</t>
  </si>
  <si>
    <t>Mission TM/TC Database</t>
  </si>
  <si>
    <t>Conversion</t>
  </si>
  <si>
    <t>WP 620334</t>
  </si>
  <si>
    <t>CS: 
Niklas A: Confirmed OK</t>
  </si>
  <si>
    <t>WP no: 620334</t>
  </si>
  <si>
    <t xml:space="preserve">Flight Dynamics SW </t>
  </si>
  <si>
    <t>Verification v.s. ref.</t>
  </si>
  <si>
    <t>data</t>
  </si>
  <si>
    <t>WP 620520</t>
  </si>
  <si>
    <t>Niklas A: Confirmed OK</t>
  </si>
  <si>
    <t>WP no: 620520</t>
  </si>
  <si>
    <t>OHB Support Centre</t>
  </si>
  <si>
    <t>WP 630300</t>
  </si>
  <si>
    <t>CS: This training is for AI&amp;T, correct?
Niklas A: Split in two and moved to support CPDI EM &amp; PFM activities</t>
  </si>
  <si>
    <t>WP no: 630300</t>
  </si>
  <si>
    <t>Niklas A: Overall duration OK, Profile of effort updated to reflect expected level of maintenance in relation to major activities and deliveries</t>
  </si>
  <si>
    <t>WP no: 640110</t>
  </si>
  <si>
    <t>RAMSES Maintenance</t>
  </si>
  <si>
    <t>WP 720300</t>
  </si>
  <si>
    <t>CS: This training is for operators, correct?
Niklas A: Confirmed OK</t>
  </si>
  <si>
    <t>WP no: 720300</t>
  </si>
  <si>
    <t>externmal costs/procurement (kEUR)</t>
  </si>
  <si>
    <t>WP 720110</t>
  </si>
  <si>
    <t>CS:
Niklas A: Confirmed OK</t>
  </si>
  <si>
    <t>WP no: 720110</t>
  </si>
  <si>
    <t>Flight Operation Procedure Support</t>
  </si>
  <si>
    <t>Flight Operation Procedure</t>
  </si>
  <si>
    <t xml:space="preserve">cost for hours </t>
  </si>
  <si>
    <t>Support</t>
  </si>
  <si>
    <t>WP no: 740,740321,740421</t>
  </si>
  <si>
    <t>Operation Support</t>
  </si>
  <si>
    <t>Payment Plan vs consumed costs</t>
  </si>
  <si>
    <t>Payment #</t>
  </si>
  <si>
    <t>Accumulated received in % of Price</t>
  </si>
  <si>
    <t>TO + M</t>
  </si>
  <si>
    <t>Consumed cost in %</t>
  </si>
  <si>
    <t>Difference in  %</t>
  </si>
  <si>
    <t>Program Kick-Off (KO)</t>
  </si>
  <si>
    <t>GNC S/S PDR</t>
  </si>
  <si>
    <t>Propulsion S/S PDR</t>
  </si>
  <si>
    <t>Delivery of EM units</t>
  </si>
  <si>
    <t>reserve</t>
  </si>
  <si>
    <t>GNC S/S CDR</t>
  </si>
  <si>
    <t>H1 - 2020</t>
  </si>
  <si>
    <t>H2-2020</t>
  </si>
  <si>
    <t>H1-2021</t>
  </si>
  <si>
    <t>H2-2021</t>
  </si>
  <si>
    <t>H1-2022</t>
  </si>
  <si>
    <t>H2-2022</t>
  </si>
  <si>
    <t>H1-2023</t>
  </si>
  <si>
    <t>H2-2023</t>
  </si>
  <si>
    <t>H1-2024</t>
  </si>
  <si>
    <t>H2-2024</t>
  </si>
  <si>
    <t>H1-2025</t>
  </si>
  <si>
    <t>H2-2025</t>
  </si>
  <si>
    <t>2020-2025</t>
  </si>
  <si>
    <t>Propulsion S/S CDR</t>
  </si>
  <si>
    <t>GNC S/S SW CDR</t>
  </si>
  <si>
    <t>GNC S/S SW QR</t>
  </si>
  <si>
    <t>Propulsion S/S DBR</t>
  </si>
  <si>
    <t>Completion of SAT PFM</t>
  </si>
  <si>
    <t xml:space="preserve"> Date</t>
  </si>
  <si>
    <t>A&amp;l</t>
  </si>
  <si>
    <t>Environmental Test</t>
  </si>
  <si>
    <t>Campaign</t>
  </si>
  <si>
    <t>Completion of the launch</t>
  </si>
  <si>
    <t>Procurement /Supplier Costs</t>
  </si>
  <si>
    <t>(in kEUR)</t>
  </si>
  <si>
    <t>NREC</t>
  </si>
  <si>
    <t>REC</t>
  </si>
  <si>
    <t>1)</t>
  </si>
  <si>
    <t>Pressure Transducer</t>
  </si>
  <si>
    <t>1 PFM PT</t>
  </si>
  <si>
    <t>PFM Test Campaign</t>
  </si>
  <si>
    <t>1 Dummy</t>
  </si>
  <si>
    <t>Project Office</t>
  </si>
  <si>
    <t>EQSR light</t>
  </si>
  <si>
    <t xml:space="preserve">Sum </t>
  </si>
  <si>
    <t>2)</t>
  </si>
  <si>
    <t>Service Valve</t>
  </si>
  <si>
    <t>3x (1 PFM+2 FM) SV</t>
  </si>
  <si>
    <t>NREC Eng.</t>
  </si>
  <si>
    <t>PFM Campaign</t>
  </si>
  <si>
    <t>Ground Half Coupling</t>
  </si>
  <si>
    <t>Sum</t>
  </si>
  <si>
    <t>3)</t>
  </si>
  <si>
    <t>Harness</t>
  </si>
  <si>
    <t>PFM</t>
  </si>
  <si>
    <t>EM</t>
  </si>
  <si>
    <t>4)</t>
  </si>
  <si>
    <t>Thrusters</t>
  </si>
  <si>
    <t>8x1N Thruster</t>
  </si>
  <si>
    <t>22N Thruster</t>
  </si>
  <si>
    <t>1 N Mass Dummy</t>
  </si>
  <si>
    <t>22 N Mass Dummy</t>
  </si>
  <si>
    <t>Progress Meetings</t>
  </si>
  <si>
    <t>Propellant</t>
  </si>
  <si>
    <t>Fueling of Satellite</t>
  </si>
  <si>
    <t>5)</t>
  </si>
  <si>
    <t>Latch Valve</t>
  </si>
  <si>
    <t>2 FM Valves</t>
  </si>
  <si>
    <t>6)</t>
  </si>
  <si>
    <t>Propellant Tank</t>
  </si>
  <si>
    <t>1 PFM tank</t>
  </si>
  <si>
    <t>1 SM Tank</t>
  </si>
  <si>
    <t>EQSR meeting</t>
  </si>
  <si>
    <t>GNC</t>
  </si>
  <si>
    <t>Magnetometer</t>
  </si>
  <si>
    <t>2 (1 PFM+1 FM) Units</t>
  </si>
  <si>
    <t>NREC standard</t>
  </si>
  <si>
    <t>EM Unit</t>
  </si>
  <si>
    <t>Mass Dummy</t>
  </si>
  <si>
    <t>Magnetorquer</t>
  </si>
  <si>
    <t>3 ( 1PFM+2FM) Units</t>
  </si>
  <si>
    <t>Shock test</t>
  </si>
  <si>
    <t>Sun Sensor</t>
  </si>
  <si>
    <t>12xPFM Coss-R</t>
  </si>
  <si>
    <t>EQSR Light</t>
  </si>
  <si>
    <t>EM x1(Coss-R)</t>
  </si>
  <si>
    <t>Startracker</t>
  </si>
  <si>
    <t>1PFM+1FM Startracker</t>
  </si>
  <si>
    <t xml:space="preserve">EM </t>
  </si>
  <si>
    <t>GSE Support</t>
  </si>
  <si>
    <t>PFM harness</t>
  </si>
  <si>
    <t>EM harness</t>
  </si>
  <si>
    <t>GNSS</t>
  </si>
  <si>
    <t>Redundant PFM</t>
  </si>
  <si>
    <t>Dummy mass</t>
  </si>
  <si>
    <t>GNC S/S AIT Assistance</t>
  </si>
  <si>
    <t>7)</t>
  </si>
  <si>
    <t>Reaction Wheels</t>
  </si>
  <si>
    <t>4 Wheels</t>
  </si>
  <si>
    <t>EM Wheel</t>
  </si>
  <si>
    <t>4 Dummy Mass</t>
  </si>
  <si>
    <t>8)</t>
  </si>
  <si>
    <t>IMU &amp; Gyro modules</t>
  </si>
  <si>
    <t>3 x IMU &amp; Gyro modules</t>
  </si>
  <si>
    <t>1 EM IMU&amp;Gyro module</t>
  </si>
  <si>
    <t>2 USB Evaluation kit</t>
  </si>
  <si>
    <t>SEM</t>
  </si>
  <si>
    <t>Descr</t>
  </si>
  <si>
    <t>by Q</t>
  </si>
  <si>
    <t>All tests cost need to be added</t>
  </si>
  <si>
    <t>Raw materials</t>
  </si>
  <si>
    <t>Test facilities</t>
  </si>
  <si>
    <t>Have 44 WP, cannot fill in the PSS.</t>
  </si>
  <si>
    <t>Escalation rates?</t>
  </si>
  <si>
    <t>Not there yet, will need to be escalate to a formula in the contract</t>
  </si>
  <si>
    <t>Exchange rates</t>
  </si>
  <si>
    <t>For now this is a calendar milestones payment plan, with specific milestones</t>
  </si>
  <si>
    <t>3-4 months is realistic to actually be paid after milestones (45 days)</t>
  </si>
  <si>
    <t>When we sign contact, we will do in more detail with the planning and costing</t>
  </si>
  <si>
    <t xml:space="preserve">WP </t>
  </si>
  <si>
    <t>coming next week.</t>
  </si>
  <si>
    <t>Reserves?</t>
  </si>
  <si>
    <t>Yes 10%</t>
  </si>
  <si>
    <t>EGSE for prop, AOCS, Check-out system, front end connectors.</t>
  </si>
  <si>
    <t xml:space="preserve">Other EGSE? </t>
  </si>
  <si>
    <t>Needs to be included.</t>
  </si>
  <si>
    <t>Propulsion Design Consolidation &amp; Analysis</t>
  </si>
  <si>
    <t>STM Design, manufact. And testing</t>
  </si>
  <si>
    <t>S/S Verification and Test Plan</t>
  </si>
  <si>
    <t>Mission TM/TC Database conversion</t>
  </si>
  <si>
    <t>Flight Dynamics SW Verification v.s. ref. data</t>
  </si>
  <si>
    <t>HOURS / H</t>
  </si>
  <si>
    <t>Original</t>
  </si>
  <si>
    <t>By Quarters</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</si>
  <si>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</si>
  <si>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</si>
  <si>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</si>
  <si>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</si>
  <si>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</si>
  <si>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</si>
  <si>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</si>
  <si>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</si>
  <si>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</si>
  <si>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</si>
  <si>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</si>
  <si>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</si>
  <si>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</si>
  <si>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</si>
  <si>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</si>
  <si>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</si>
  <si>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</si>
  <si>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</si>
  <si>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Q3 2024</t>
  </si>
  <si>
    <t>Q4 2024</t>
  </si>
  <si>
    <t>Q1 2025</t>
  </si>
  <si>
    <t>Q2 2025</t>
  </si>
  <si>
    <t>Q3 2025</t>
  </si>
  <si>
    <t>Q4 2025</t>
  </si>
  <si>
    <t>Milestone Name</t>
  </si>
  <si>
    <t>Kick Off</t>
  </si>
  <si>
    <t>GNC S/S PDR &amp; Propulsion S/S PDR</t>
  </si>
  <si>
    <t>Delivery of EM units + GNC S/S CDR</t>
  </si>
  <si>
    <t>GNC S/S SW QR &amp; Propulsion S/S DBR</t>
  </si>
  <si>
    <t>Completion of SAT PFM A&amp;I</t>
  </si>
  <si>
    <t>Completion of SAT PFM Env Test Campaign + Completion of the launch campaign</t>
  </si>
  <si>
    <t>Completion f in-orbit first check-out of GNC S/S and Propulsion S/S</t>
  </si>
  <si>
    <t>Completion of first orbit raising</t>
  </si>
  <si>
    <t>Completion of first debris disposal</t>
  </si>
  <si>
    <t>Sum incl Cont. 10%</t>
  </si>
  <si>
    <t>Launch 2025 same cost</t>
  </si>
  <si>
    <t>cont</t>
  </si>
  <si>
    <t>CHF SOR submission</t>
  </si>
  <si>
    <t>KEUR 2025 Launch</t>
  </si>
  <si>
    <t>Exchange rate NC/EUR</t>
  </si>
  <si>
    <t>(PSS A2)</t>
  </si>
  <si>
    <t>Grabbing Feature AM Interface</t>
  </si>
  <si>
    <t>RUAG SPACE</t>
  </si>
  <si>
    <t>Start</t>
  </si>
  <si>
    <t>End</t>
  </si>
  <si>
    <t>WP110800</t>
  </si>
  <si>
    <t>[CHF]</t>
  </si>
  <si>
    <t>Profit</t>
  </si>
  <si>
    <t>Provision</t>
  </si>
  <si>
    <t>Escalation</t>
  </si>
  <si>
    <t xml:space="preserve">Total Cost </t>
  </si>
  <si>
    <t xml:space="preserve">Preliminary Design Damping Structure </t>
  </si>
  <si>
    <t>WP480211</t>
  </si>
  <si>
    <t>Egineering - Design</t>
  </si>
  <si>
    <t>Enineering -Design</t>
  </si>
  <si>
    <t>Travel &amp; Subsistence</t>
  </si>
  <si>
    <t>Travel</t>
  </si>
  <si>
    <t>Aux</t>
  </si>
  <si>
    <t>Total Cost</t>
  </si>
  <si>
    <t>Detailed Design Damping Structure</t>
  </si>
  <si>
    <t>WP480221</t>
  </si>
  <si>
    <t>Engineering</t>
  </si>
  <si>
    <t>Satellite configuration system optimisation and demisability</t>
  </si>
  <si>
    <t>WP401411</t>
  </si>
  <si>
    <t>Industrialization</t>
  </si>
  <si>
    <t>WP180410</t>
  </si>
  <si>
    <t>Simulator(s)</t>
  </si>
  <si>
    <t>Launch 2025 Timeline</t>
  </si>
  <si>
    <t>WP number</t>
  </si>
  <si>
    <t>WP name</t>
  </si>
  <si>
    <t>Manpower, Procurement and TOTAL per WP</t>
  </si>
  <si>
    <t>RVSPU Project Management</t>
  </si>
  <si>
    <t>TOTAL (=MAN+PROC)</t>
  </si>
  <si>
    <t>RVSPU Product Assurance Management</t>
  </si>
  <si>
    <t>RVSPU-EQM design, production and test</t>
  </si>
  <si>
    <t>RVSPU-PFM design, production and test</t>
  </si>
  <si>
    <t>SOR Submission Timeline</t>
  </si>
  <si>
    <t>Max slant range</t>
  </si>
  <si>
    <t>Min slant range</t>
  </si>
  <si>
    <t>Rain Loss</t>
  </si>
  <si>
    <t>Conservative estimate</t>
  </si>
  <si>
    <t xml:space="preserve">Received Signal Level at SAT </t>
  </si>
  <si>
    <t>One antenna pointing at earth, one at dark night sky</t>
  </si>
  <si>
    <t>Cable Equiv. Noise Temperature</t>
  </si>
  <si>
    <t>Cable + Diplexer Losses</t>
  </si>
  <si>
    <t>LNA Gain</t>
  </si>
  <si>
    <t>LNA Noise Figure</t>
  </si>
  <si>
    <t>LNA Noise Temperature</t>
  </si>
  <si>
    <t>Receiver Noise Figure</t>
  </si>
  <si>
    <t>Hybrid Equiv. Noise Temperature</t>
  </si>
  <si>
    <t xml:space="preserve">Received Signal Level at GND </t>
  </si>
  <si>
    <t>Antenna pointing loss</t>
  </si>
  <si>
    <t>Antenna gain</t>
  </si>
  <si>
    <t>At min elevation some sidelobes are looking at the earth</t>
  </si>
  <si>
    <t>Cable  Losses</t>
  </si>
  <si>
    <t>uncoded BPSK/QPSK, BER=10e-5</t>
  </si>
  <si>
    <t>BPSK/QPSK with Reed-Solomon and Convolutional Code, BER=10e-5</t>
  </si>
  <si>
    <t>Link margin with RS+CC</t>
  </si>
  <si>
    <t>Required Eb/N0 with RS+CC</t>
  </si>
  <si>
    <t xml:space="preserve">PDD worst case </t>
  </si>
  <si>
    <t>X-band Commercial</t>
  </si>
  <si>
    <t>1.7m Dish with 60% Efficiency</t>
  </si>
  <si>
    <t>3.2m Dish with 60% Efficiency</t>
  </si>
  <si>
    <t>Useful Data Rate</t>
  </si>
  <si>
    <t>Msps</t>
  </si>
  <si>
    <t>ksps</t>
  </si>
  <si>
    <t>G/T</t>
  </si>
  <si>
    <t>uncoded 32-QAM, BER=10e-5</t>
  </si>
  <si>
    <t>32-QAM with TurboCode R=0.5, BER=10e-5, coding gain approx 9.5dB</t>
  </si>
  <si>
    <t>Useful Data Rate with TurboCode</t>
  </si>
  <si>
    <t>Distance</t>
  </si>
  <si>
    <t>Earth-Jupiter</t>
  </si>
  <si>
    <t>70m Dish with 60% Efficiency, NASA DeepSpace Network</t>
  </si>
  <si>
    <t>Only pointing at night sky, DSN has stations all over the earth</t>
  </si>
  <si>
    <t>X-band uplink</t>
  </si>
  <si>
    <t>X-band downlink</t>
  </si>
  <si>
    <t>Ka-band downlink</t>
  </si>
  <si>
    <t>uncoded QPSK, BER=10e-9</t>
  </si>
  <si>
    <t>50W TWTA</t>
  </si>
  <si>
    <t>X-band Downlink TM</t>
  </si>
  <si>
    <t>X-band Uplink TC</t>
  </si>
  <si>
    <t>QPSK with TurboCode R=1/6, BER=10e-9</t>
  </si>
  <si>
    <t>Ka-Band Payload Downlink</t>
  </si>
  <si>
    <t>QPSK with TurboCode R=0.5, BER=10e-9</t>
  </si>
  <si>
    <t>QPSK with TurboCode R=1/2, BER=10e-9</t>
  </si>
  <si>
    <t>Usually stations without rain can be chosen. DSN has many locations</t>
  </si>
  <si>
    <t>Probably not enough, see block diagram</t>
  </si>
  <si>
    <t>3m dish with 60% efficiency</t>
  </si>
  <si>
    <t>Essentially just night sky</t>
  </si>
  <si>
    <t>3dB from splitting signal 50:50, 0.5dB insertion loss</t>
  </si>
  <si>
    <t>Some cabling and diplexer insertion loss</t>
  </si>
  <si>
    <t>TWTA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</si>
</sst>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 #,##0.00_ ;_ * \-#,##0.00_ ;_ * &quot;-&quot;??_ ;_ @_ "/>
    <numFmt numFmtId="164" formatCode="_(* #,##0.00_);_(* \(#,##0.00\);_(* &quot;-&quot;??_);_(@_)"/>
    <numFmt numFmtId="165" formatCode="0.0"/>
    <numFmt numFmtId="166" formatCode="_(* #,##0_);_(* \(#,##0\);_(* &quot;-&quot;??_);_(@_)"/>
    <numFmt numFmtId="167" formatCode="_ * #,##0.0_ ;_ * \-#,##0.0_ ;_ * &quot;-&quot;??_ ;_ @_ "/>
    <numFmt numFmtId="168" formatCode="_ * #,##0_ ;_ * \-#,##0_ ;_ * &quot;-&quot;??_ ;_ @_ "/>
    <numFmt numFmtId="169" formatCode="_ [$€-2]\ * #,##0_ ;_ [$€-2]\ * \-#,##0_ ;_ [$€-2]\ * &quot;-&quot;??_ ;_ @_ "/>
    <numFmt numFmtId="170" formatCode="_ [$CHF-807]\ * #,##0.00_ ;_ [$CHF-807]\ * \-#,##0.00_ ;_ [$CHF-807]\ * &quot;-&quot;??_ ;_ @_ "/>
    <numFmt numFmtId="171" formatCode="_(* #,##0.0_);_(* \(#,##0.0\);_(* &quot;-&quot;??_);_(@_)"/>
    <numFmt numFmtId="172" formatCode="#,##0.0"/>
    <numFmt numFmtId="173" formatCode="[$-41D]mmmm\ yyyy;@"/>
    <numFmt numFmtId="174" formatCode="0.000"/>
  </numFmts>
  <fonts count="57">
    <font>
      <sz val="11"/>
      <color theme="1"/>
      <name val="Calibri"/>
      <family val="2"/>
      <scheme val="minor"/>
    </font>
    <font>
      <sz val="11"/>
      <color theme="1"/>
      <name val="Calibri"/>
      <family val="2"/>
      <scheme val="minor"/>
    </font>
    <font>
      <sz val="12"/>
      <color theme="1"/>
      <name val="Calibri"/>
      <family val="2"/>
      <scheme val="minor"/>
    </font>
    <font>
      <b/>
      <sz val="14"/>
      <color theme="8"/>
      <name val="Calibri"/>
      <family val="2"/>
      <scheme val="minor"/>
    </font>
    <font>
      <sz val="10"/>
      <name val="Arial"/>
      <family val="2"/>
    </font>
    <font>
      <b/>
      <sz val="10"/>
      <name val="Arial"/>
      <family val="2"/>
    </font>
    <font>
      <sz val="9"/>
      <color theme="1"/>
      <name val="Calibri"/>
      <family val="2"/>
      <scheme val="minor"/>
    </font>
    <font>
      <i/>
      <sz val="10"/>
      <name val="Arial"/>
      <family val="2"/>
    </font>
    <font>
      <b/>
      <sz val="11"/>
      <name val="Arial"/>
      <family val="2"/>
    </font>
    <font>
      <sz val="11"/>
      <name val="Arial"/>
      <family val="2"/>
    </font>
    <font>
      <b/>
      <sz val="11"/>
      <name val="Calibri"/>
      <family val="2"/>
      <scheme val="minor"/>
    </font>
    <font>
      <b/>
      <sz val="11"/>
      <color theme="1"/>
      <name val="Calibri"/>
      <family val="2"/>
      <scheme val="minor"/>
    </font>
    <font>
      <sz val="10"/>
      <color rgb="FFFF0000"/>
      <name val="Arial"/>
      <family val="2"/>
    </font>
    <font>
      <sz val="11"/>
      <color rgb="FFFF0000"/>
      <name val="Calibri"/>
      <family val="2"/>
      <scheme val="minor"/>
    </font>
    <font>
      <sz val="11"/>
      <name val="Calibri"/>
      <family val="2"/>
      <scheme val="minor"/>
    </font>
    <font>
      <b/>
      <sz val="11"/>
      <color rgb="FFFF0000"/>
      <name val="Calibri"/>
      <family val="2"/>
      <scheme val="minor"/>
    </font>
    <font>
      <sz val="10"/>
      <color rgb="FF000000"/>
      <name val="Tahoma"/>
      <family val="2"/>
    </font>
    <font>
      <b/>
      <sz val="10"/>
      <color rgb="FF000000"/>
      <name val="Tahoma"/>
      <family val="2"/>
    </font>
    <font>
      <b/>
      <sz val="10"/>
      <color theme="1"/>
      <name val="Arial"/>
      <family val="2"/>
    </font>
    <font>
      <sz val="10"/>
      <color theme="1"/>
      <name val="Arial"/>
      <family val="2"/>
    </font>
    <font>
      <b/>
      <sz val="12"/>
      <color theme="1"/>
      <name val="Calibri"/>
      <family val="2"/>
      <scheme val="minor"/>
    </font>
    <font>
      <strike/>
      <sz val="11"/>
      <color theme="1"/>
      <name val="Calibri"/>
      <family val="2"/>
      <scheme val="minor"/>
    </font>
    <font>
      <sz val="9"/>
      <name val="Arial"/>
      <family val="2"/>
    </font>
    <font>
      <b/>
      <sz val="14"/>
      <color theme="1"/>
      <name val="Calibri"/>
      <family val="2"/>
      <scheme val="minor"/>
    </font>
    <font>
      <b/>
      <sz val="12"/>
      <color rgb="FFFF0000"/>
      <name val="Calibri"/>
      <family val="2"/>
      <scheme val="minor"/>
    </font>
    <font>
      <b/>
      <sz val="11"/>
      <color rgb="FF0000FF"/>
      <name val="Calibri"/>
      <family val="2"/>
      <scheme val="minor"/>
    </font>
    <font>
      <sz val="11"/>
      <color rgb="FF9C6500"/>
      <name val="Calibri"/>
      <family val="2"/>
      <scheme val="minor"/>
    </font>
    <font>
      <sz val="11"/>
      <color rgb="FF000000"/>
      <name val="Calibri"/>
      <family val="2"/>
      <scheme val="minor"/>
    </font>
    <font>
      <sz val="8"/>
      <name val="Calibri"/>
      <family val="2"/>
      <scheme val="minor"/>
    </font>
    <font>
      <sz val="11"/>
      <color theme="1"/>
      <name val="Calibri"/>
      <family val="2"/>
      <scheme val="minor"/>
    </font>
    <font>
      <b/>
      <sz val="16"/>
      <color theme="1"/>
      <name val="Calibri"/>
      <family val="2"/>
      <scheme val="minor"/>
    </font>
    <font>
      <sz val="11"/>
      <color theme="5" tint="-0.249977111117893"/>
      <name val="Calibri"/>
      <family val="2"/>
      <scheme val="minor"/>
    </font>
    <font>
      <b/>
      <sz val="11"/>
      <color rgb="FFFF0000"/>
      <name val="Calibri (Body)"/>
    </font>
    <font>
      <i/>
      <sz val="10"/>
      <color theme="1"/>
      <name val="Arial"/>
      <family val="2"/>
    </font>
    <font>
      <b/>
      <sz val="11"/>
      <color theme="1"/>
      <name val="Arial"/>
      <family val="2"/>
    </font>
    <font>
      <sz val="11"/>
      <color theme="1"/>
      <name val="Arial"/>
      <family val="2"/>
    </font>
    <font>
      <sz val="13"/>
      <color theme="1"/>
      <name val="Calibri"/>
      <family val="2"/>
      <scheme val="minor"/>
    </font>
    <font>
      <i/>
      <sz val="10"/>
      <color theme="1"/>
      <name val="Calibri Light"/>
      <family val="2"/>
    </font>
    <font>
      <sz val="11"/>
      <color theme="1"/>
      <name val="Calibri Light"/>
      <family val="2"/>
    </font>
    <font>
      <i/>
      <sz val="10"/>
      <color theme="1"/>
      <name val="Calibri"/>
      <family val="2"/>
      <scheme val="minor"/>
    </font>
    <font>
      <i/>
      <sz val="11"/>
      <color theme="1"/>
      <name val="Calibri"/>
      <family val="2"/>
      <scheme val="minor"/>
    </font>
    <font>
      <b/>
      <i/>
      <sz val="12"/>
      <name val="Arial"/>
      <family val="2"/>
    </font>
    <font>
      <b/>
      <sz val="12"/>
      <color rgb="FF0000FF"/>
      <name val="Arial"/>
      <family val="2"/>
    </font>
    <font>
      <sz val="12"/>
      <name val="Arial"/>
      <family val="2"/>
    </font>
    <font>
      <b/>
      <sz val="12"/>
      <name val="Arial"/>
      <family val="2"/>
    </font>
    <font>
      <sz val="11"/>
      <color rgb="FF000000"/>
      <name val="Arial"/>
      <family val="2"/>
    </font>
    <font>
      <b/>
      <i/>
      <sz val="10"/>
      <color theme="1"/>
      <name val="Calibri Light"/>
      <family val="2"/>
    </font>
    <font>
      <b/>
      <sz val="10"/>
      <color rgb="FFFF0000"/>
      <name val="Arial"/>
      <family val="2"/>
    </font>
    <font>
      <b/>
      <i/>
      <sz val="10"/>
      <color theme="1"/>
      <name val="Arial"/>
      <family val="2"/>
    </font>
    <font>
      <sz val="12"/>
      <color rgb="FF9C5700"/>
      <name val="Calibri"/>
      <family val="2"/>
      <scheme val="minor"/>
    </font>
    <font>
      <sz val="12"/>
      <color rgb="FFFF0000"/>
      <name val="Calibri"/>
      <family val="2"/>
      <scheme val="minor"/>
    </font>
    <font>
      <strike/>
      <sz val="11"/>
      <color rgb="FFFF0000"/>
      <name val="Calibri"/>
      <family val="2"/>
      <scheme val="minor"/>
    </font>
    <font>
      <b/>
      <sz val="11"/>
      <color theme="0"/>
      <name val="Calibri"/>
      <family val="2"/>
      <scheme val="minor"/>
    </font>
    <font>
      <sz val="11"/>
      <color theme="0"/>
      <name val="Calibri"/>
      <family val="2"/>
      <scheme val="minor"/>
    </font>
    <font>
      <b/>
      <sz val="14"/>
      <color theme="5" tint="-0.249977111117893"/>
      <name val="Calibri"/>
      <family val="2"/>
      <scheme val="minor"/>
    </font>
    <font>
      <b/>
      <sz val="11"/>
      <color rgb="FFC00000"/>
      <name val="Calibri"/>
      <family val="2"/>
      <scheme val="minor"/>
    </font>
    <font>
      <sz val="20"/>
      <color theme="1"/>
      <name val="Calibri"/>
      <family val="2"/>
      <scheme val="minor"/>
    </font>
  </fonts>
  <fills count="27">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indexed="9"/>
        <bgColor indexed="64"/>
      </patternFill>
    </fill>
    <fill>
      <patternFill patternType="solid">
        <fgColor indexed="13"/>
        <bgColor indexed="64"/>
      </patternFill>
    </fill>
    <fill>
      <patternFill patternType="solid">
        <fgColor rgb="FFFFEB9C"/>
      </patternFill>
    </fill>
    <fill>
      <patternFill patternType="solid">
        <fgColor rgb="FFFFFF00"/>
        <bgColor indexed="64"/>
      </patternFill>
    </fill>
    <fill>
      <patternFill patternType="solid">
        <fgColor rgb="FF92D050"/>
        <bgColor indexed="64"/>
      </patternFill>
    </fill>
    <fill>
      <patternFill patternType="solid">
        <fgColor theme="9"/>
        <bgColor indexed="64"/>
      </patternFill>
    </fill>
    <fill>
      <patternFill patternType="solid">
        <fgColor rgb="FFC00000"/>
        <bgColor indexed="64"/>
      </patternFill>
    </fill>
    <fill>
      <patternFill patternType="solid">
        <fgColor rgb="FFFF0000"/>
        <bgColor indexed="64"/>
      </patternFill>
    </fill>
    <fill>
      <patternFill patternType="solid">
        <fgColor rgb="FF0070C0"/>
        <bgColor indexed="64"/>
      </patternFill>
    </fill>
    <fill>
      <patternFill patternType="solid">
        <fgColor rgb="FF7030A0"/>
        <bgColor indexed="64"/>
      </patternFill>
    </fill>
    <fill>
      <patternFill patternType="solid">
        <fgColor rgb="FF00B0F0"/>
        <bgColor indexed="64"/>
      </patternFill>
    </fill>
    <fill>
      <patternFill patternType="solid">
        <fgColor rgb="FF00B050"/>
        <bgColor indexed="64"/>
      </patternFill>
    </fill>
    <fill>
      <patternFill patternType="solid">
        <fgColor theme="1"/>
        <bgColor indexed="64"/>
      </patternFill>
    </fill>
    <fill>
      <patternFill patternType="solid">
        <fgColor theme="0"/>
        <bgColor indexed="64"/>
      </patternFill>
    </fill>
    <fill>
      <patternFill patternType="solid">
        <fgColor theme="6" tint="0.59999389629810485"/>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auto="1"/>
      </left>
      <right style="thin">
        <color auto="1"/>
      </right>
      <top style="thin">
        <color auto="1"/>
      </top>
      <bottom style="thick">
        <color auto="1"/>
      </bottom>
      <diagonal/>
    </border>
    <border>
      <left style="thick">
        <color auto="1"/>
      </left>
      <right style="thin">
        <color auto="1"/>
      </right>
      <top/>
      <bottom style="thin">
        <color auto="1"/>
      </bottom>
      <diagonal/>
    </border>
    <border>
      <left/>
      <right style="thick">
        <color auto="1"/>
      </right>
      <top/>
      <bottom style="thin">
        <color auto="1"/>
      </bottom>
      <diagonal/>
    </border>
    <border>
      <left style="medium">
        <color auto="1"/>
      </left>
      <right/>
      <top style="thin">
        <color auto="1"/>
      </top>
      <bottom style="thin">
        <color auto="1"/>
      </bottom>
      <diagonal/>
    </border>
    <border>
      <left style="thick">
        <color auto="1"/>
      </left>
      <right style="thin">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right style="thick">
        <color auto="1"/>
      </right>
      <top style="thin">
        <color auto="1"/>
      </top>
      <bottom style="thick">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ashed">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diagonal/>
    </border>
    <border>
      <left style="thin">
        <color indexed="64"/>
      </left>
      <right style="medium">
        <color indexed="64"/>
      </right>
      <top style="dashed">
        <color indexed="64"/>
      </top>
      <bottom/>
      <diagonal/>
    </border>
    <border>
      <left style="medium">
        <color indexed="64"/>
      </left>
      <right style="medium">
        <color indexed="64"/>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thin">
        <color indexed="64"/>
      </right>
      <top/>
      <bottom style="dashed">
        <color indexed="64"/>
      </bottom>
      <diagonal/>
    </border>
    <border>
      <left/>
      <right style="thin">
        <color indexed="64"/>
      </right>
      <top style="dashed">
        <color indexed="64"/>
      </top>
      <bottom style="medium">
        <color indexed="64"/>
      </bottom>
      <diagonal/>
    </border>
  </borders>
  <cellStyleXfs count="10">
    <xf numFmtId="0" fontId="0" fillId="0" borderId="0"/>
    <xf numFmtId="0" fontId="4" fillId="0" borderId="0"/>
    <xf numFmtId="0" fontId="26" fillId="6" borderId="0" applyNumberFormat="0" applyBorder="0" applyAlignment="0" applyProtection="0"/>
    <xf numFmtId="43" fontId="29" fillId="0" borderId="0" applyFont="0" applyFill="0" applyBorder="0" applyAlignment="0" applyProtection="0"/>
    <xf numFmtId="9" fontId="29" fillId="0" borderId="0" applyFont="0" applyFill="0" applyBorder="0" applyAlignment="0" applyProtection="0"/>
    <xf numFmtId="164" fontId="29" fillId="0" borderId="0" applyFont="0" applyFill="0" applyBorder="0" applyAlignment="0" applyProtection="0"/>
    <xf numFmtId="0" fontId="29" fillId="0" borderId="0"/>
    <xf numFmtId="43" fontId="29" fillId="0" borderId="0" applyFont="0" applyFill="0" applyBorder="0" applyAlignment="0" applyProtection="0"/>
    <xf numFmtId="0" fontId="49" fillId="6" borderId="0" applyNumberFormat="0" applyBorder="0" applyAlignment="0" applyProtection="0"/>
    <xf numFmtId="9" fontId="29" fillId="0" borderId="0" applyFont="0" applyFill="0" applyBorder="0" applyAlignment="0" applyProtection="0"/>
  </cellStyleXfs>
  <cellXfs count="661">
    <xf numFmtId="0" fontId="0" fillId="0" borderId="0" xfId="0"/>
    <xf numFmtId="0" fontId="3" fillId="0" borderId="0" xfId="0" applyFont="1"/>
    <xf numFmtId="0" fontId="0" fillId="2" borderId="0" xfId="0" applyFill="1"/>
    <xf numFmtId="0" fontId="0" fillId="3" borderId="0" xfId="0" applyFill="1"/>
    <xf numFmtId="0" fontId="5" fillId="4" borderId="0" xfId="1" applyFont="1" applyFill="1"/>
    <xf numFmtId="0" fontId="4" fillId="4" borderId="0" xfId="1" applyFill="1"/>
    <xf numFmtId="0" fontId="4" fillId="4" borderId="1" xfId="1" applyFill="1" applyBorder="1"/>
    <xf numFmtId="0" fontId="5" fillId="4" borderId="1" xfId="1" applyFont="1" applyFill="1" applyBorder="1" applyAlignment="1">
      <alignment horizontal="center"/>
    </xf>
    <xf numFmtId="14" fontId="6" fillId="0" borderId="0" xfId="0" applyNumberFormat="1" applyFont="1"/>
    <xf numFmtId="0" fontId="7" fillId="4" borderId="2" xfId="1" applyFont="1" applyFill="1" applyBorder="1" applyAlignment="1">
      <alignment vertical="center" wrapText="1"/>
    </xf>
    <xf numFmtId="0" fontId="4" fillId="4" borderId="3" xfId="1" applyFill="1" applyBorder="1" applyAlignment="1">
      <alignment vertical="center" wrapText="1"/>
    </xf>
    <xf numFmtId="0" fontId="4" fillId="4" borderId="4" xfId="1" applyFill="1" applyBorder="1" applyAlignment="1">
      <alignment vertical="center" wrapText="1"/>
    </xf>
    <xf numFmtId="0" fontId="8" fillId="5" borderId="2" xfId="1" applyFont="1" applyFill="1" applyBorder="1"/>
    <xf numFmtId="0" fontId="9" fillId="5" borderId="3" xfId="1" applyFont="1" applyFill="1" applyBorder="1"/>
    <xf numFmtId="0" fontId="9" fillId="5" borderId="4" xfId="1" applyFont="1" applyFill="1" applyBorder="1"/>
    <xf numFmtId="0" fontId="4" fillId="4" borderId="9" xfId="1" applyFill="1" applyBorder="1"/>
    <xf numFmtId="0" fontId="11" fillId="0" borderId="0" xfId="0" applyFont="1"/>
    <xf numFmtId="0" fontId="13" fillId="0" borderId="0" xfId="0" applyFont="1"/>
    <xf numFmtId="0" fontId="0" fillId="0" borderId="0" xfId="0" applyAlignment="1">
      <alignment vertical="top"/>
    </xf>
    <xf numFmtId="0" fontId="4" fillId="4" borderId="0" xfId="1" applyFill="1" applyAlignment="1">
      <alignment vertical="top"/>
    </xf>
    <xf numFmtId="0" fontId="5" fillId="4" borderId="2" xfId="1" applyFont="1" applyFill="1" applyBorder="1"/>
    <xf numFmtId="0" fontId="4" fillId="4" borderId="3" xfId="1" applyFill="1" applyBorder="1"/>
    <xf numFmtId="0" fontId="4" fillId="4" borderId="4" xfId="1" applyFill="1" applyBorder="1"/>
    <xf numFmtId="0" fontId="4" fillId="4" borderId="0" xfId="1" applyFill="1" applyAlignment="1">
      <alignment horizontal="left" indent="2"/>
    </xf>
    <xf numFmtId="0" fontId="4" fillId="4" borderId="9" xfId="1" applyFill="1" applyBorder="1" applyAlignment="1">
      <alignment vertical="top"/>
    </xf>
    <xf numFmtId="0" fontId="4" fillId="4" borderId="10" xfId="1" applyFill="1" applyBorder="1" applyAlignment="1">
      <alignment horizontal="left" indent="2"/>
    </xf>
    <xf numFmtId="0" fontId="4" fillId="4" borderId="11" xfId="1" applyFill="1" applyBorder="1"/>
    <xf numFmtId="0" fontId="4" fillId="4" borderId="12" xfId="1" applyFill="1" applyBorder="1"/>
    <xf numFmtId="0" fontId="0" fillId="0" borderId="1" xfId="0" applyBorder="1"/>
    <xf numFmtId="0" fontId="11" fillId="0" borderId="1" xfId="0" applyFont="1" applyBorder="1"/>
    <xf numFmtId="0" fontId="10" fillId="0" borderId="1" xfId="0" applyFont="1" applyBorder="1"/>
    <xf numFmtId="0" fontId="13" fillId="0" borderId="1" xfId="0" applyFont="1" applyBorder="1"/>
    <xf numFmtId="0" fontId="11" fillId="0" borderId="1" xfId="0" applyFont="1" applyBorder="1" applyAlignment="1">
      <alignment vertical="top"/>
    </xf>
    <xf numFmtId="0" fontId="14" fillId="0" borderId="1" xfId="0" applyFont="1" applyBorder="1"/>
    <xf numFmtId="0" fontId="14" fillId="0" borderId="1" xfId="0" quotePrefix="1" applyFont="1" applyBorder="1"/>
    <xf numFmtId="0" fontId="10" fillId="0" borderId="1" xfId="0" applyFont="1" applyBorder="1" applyAlignment="1">
      <alignment vertical="top"/>
    </xf>
    <xf numFmtId="0" fontId="0" fillId="0" borderId="0" xfId="0" applyAlignment="1">
      <alignment horizontal="left"/>
    </xf>
    <xf numFmtId="0" fontId="0" fillId="0" borderId="0" xfId="0" applyAlignment="1">
      <alignment horizontal="left" vertical="top"/>
    </xf>
    <xf numFmtId="0" fontId="12" fillId="4" borderId="1" xfId="1" applyFont="1" applyFill="1" applyBorder="1" applyAlignment="1">
      <alignment horizontal="center"/>
    </xf>
    <xf numFmtId="0" fontId="18" fillId="4" borderId="5" xfId="1" applyFont="1" applyFill="1" applyBorder="1" applyAlignment="1">
      <alignment vertical="top"/>
    </xf>
    <xf numFmtId="0" fontId="19" fillId="4" borderId="6" xfId="1" applyFont="1" applyFill="1" applyBorder="1" applyAlignment="1">
      <alignment vertical="top"/>
    </xf>
    <xf numFmtId="0" fontId="19" fillId="4" borderId="7" xfId="1" applyFont="1" applyFill="1" applyBorder="1"/>
    <xf numFmtId="0" fontId="19" fillId="4" borderId="8" xfId="1" applyFont="1" applyFill="1" applyBorder="1" applyAlignment="1">
      <alignment horizontal="left" indent="2"/>
    </xf>
    <xf numFmtId="0" fontId="19" fillId="4" borderId="0" xfId="1" applyFont="1" applyFill="1"/>
    <xf numFmtId="0" fontId="19" fillId="4" borderId="9" xfId="1" applyFont="1" applyFill="1" applyBorder="1"/>
    <xf numFmtId="0" fontId="18" fillId="4" borderId="8" xfId="1" applyFont="1" applyFill="1" applyBorder="1"/>
    <xf numFmtId="0" fontId="18" fillId="4" borderId="5" xfId="1" applyFont="1" applyFill="1" applyBorder="1"/>
    <xf numFmtId="0" fontId="19" fillId="4" borderId="6" xfId="1" applyFont="1" applyFill="1" applyBorder="1"/>
    <xf numFmtId="0" fontId="19" fillId="2" borderId="8" xfId="1" applyFont="1" applyFill="1" applyBorder="1" applyAlignment="1">
      <alignment horizontal="left" vertical="top" indent="2"/>
    </xf>
    <xf numFmtId="0" fontId="19" fillId="2" borderId="0" xfId="1" applyFont="1" applyFill="1" applyAlignment="1">
      <alignment vertical="top"/>
    </xf>
    <xf numFmtId="0" fontId="19" fillId="2" borderId="9" xfId="1" applyFont="1" applyFill="1" applyBorder="1"/>
    <xf numFmtId="0" fontId="19" fillId="4" borderId="8" xfId="1" applyFont="1" applyFill="1" applyBorder="1" applyAlignment="1">
      <alignment horizontal="left" vertical="top" indent="6"/>
    </xf>
    <xf numFmtId="0" fontId="19" fillId="2" borderId="0" xfId="1" applyFont="1" applyFill="1" applyAlignment="1">
      <alignment horizontal="left" vertical="top"/>
    </xf>
    <xf numFmtId="0" fontId="19" fillId="4" borderId="0" xfId="1" applyFont="1" applyFill="1" applyAlignment="1">
      <alignment horizontal="left" vertical="top"/>
    </xf>
    <xf numFmtId="0" fontId="19" fillId="4" borderId="0" xfId="1" applyFont="1" applyFill="1" applyAlignment="1">
      <alignment vertical="top"/>
    </xf>
    <xf numFmtId="0" fontId="18" fillId="4" borderId="0" xfId="1" applyFont="1" applyFill="1"/>
    <xf numFmtId="0" fontId="18" fillId="4" borderId="9" xfId="1" applyFont="1" applyFill="1" applyBorder="1" applyAlignment="1">
      <alignment horizontal="right"/>
    </xf>
    <xf numFmtId="0" fontId="11" fillId="0" borderId="0" xfId="0" applyFont="1" applyAlignment="1">
      <alignment horizontal="left"/>
    </xf>
    <xf numFmtId="0" fontId="15" fillId="0" borderId="1" xfId="0" applyFont="1" applyBorder="1"/>
    <xf numFmtId="0" fontId="0" fillId="7" borderId="0" xfId="0" applyFill="1" applyAlignment="1">
      <alignment horizontal="left"/>
    </xf>
    <xf numFmtId="0" fontId="10" fillId="0" borderId="0" xfId="0" applyFont="1"/>
    <xf numFmtId="0" fontId="11" fillId="0" borderId="0" xfId="0" applyFont="1" applyAlignment="1">
      <alignment vertical="top"/>
    </xf>
    <xf numFmtId="0" fontId="21" fillId="0" borderId="0" xfId="0" applyFont="1"/>
    <xf numFmtId="0" fontId="14" fillId="0" borderId="0" xfId="0" applyFont="1"/>
    <xf numFmtId="0" fontId="10" fillId="0" borderId="0" xfId="0" applyFont="1" applyAlignment="1">
      <alignment vertical="top"/>
    </xf>
    <xf numFmtId="0" fontId="0" fillId="0" borderId="0" xfId="0" quotePrefix="1"/>
    <xf numFmtId="0" fontId="14" fillId="0" borderId="0" xfId="0" quotePrefix="1" applyFont="1" applyAlignment="1">
      <alignment vertical="top"/>
    </xf>
    <xf numFmtId="0" fontId="22" fillId="4" borderId="0" xfId="1" applyFont="1" applyFill="1" applyAlignment="1">
      <alignment vertical="top" wrapText="1"/>
    </xf>
    <xf numFmtId="0" fontId="14" fillId="0" borderId="0" xfId="2" applyFont="1" applyFill="1"/>
    <xf numFmtId="0" fontId="27" fillId="0" borderId="0" xfId="0" applyFont="1"/>
    <xf numFmtId="0" fontId="13" fillId="7" borderId="0" xfId="0" applyFont="1" applyFill="1"/>
    <xf numFmtId="0" fontId="11" fillId="7" borderId="0" xfId="0" applyFont="1" applyFill="1" applyAlignment="1">
      <alignment vertical="top"/>
    </xf>
    <xf numFmtId="0" fontId="11" fillId="7" borderId="0" xfId="0" applyFont="1" applyFill="1"/>
    <xf numFmtId="0" fontId="0" fillId="7" borderId="0" xfId="0" applyFill="1"/>
    <xf numFmtId="0" fontId="14" fillId="0" borderId="0" xfId="0" applyFont="1" applyAlignment="1">
      <alignment vertical="top"/>
    </xf>
    <xf numFmtId="0" fontId="0" fillId="9" borderId="0" xfId="0" applyFill="1"/>
    <xf numFmtId="0" fontId="13" fillId="9" borderId="0" xfId="0" applyFont="1" applyFill="1"/>
    <xf numFmtId="0" fontId="0" fillId="10" borderId="0" xfId="0" applyFill="1"/>
    <xf numFmtId="0" fontId="13" fillId="10" borderId="0" xfId="0" applyFont="1" applyFill="1"/>
    <xf numFmtId="0" fontId="0" fillId="11" borderId="0" xfId="0" applyFill="1"/>
    <xf numFmtId="0" fontId="13" fillId="11" borderId="0" xfId="0" applyFont="1" applyFill="1"/>
    <xf numFmtId="0" fontId="0" fillId="12" borderId="0" xfId="0" applyFill="1"/>
    <xf numFmtId="0" fontId="13" fillId="12" borderId="0" xfId="0" applyFont="1" applyFill="1"/>
    <xf numFmtId="0" fontId="0" fillId="13" borderId="0" xfId="0" applyFill="1"/>
    <xf numFmtId="0" fontId="13" fillId="13" borderId="0" xfId="0" applyFont="1" applyFill="1"/>
    <xf numFmtId="0" fontId="0" fillId="14" borderId="0" xfId="0" applyFill="1"/>
    <xf numFmtId="0" fontId="13" fillId="14" borderId="0" xfId="0" applyFont="1" applyFill="1"/>
    <xf numFmtId="0" fontId="11" fillId="15" borderId="0" xfId="0" applyFont="1" applyFill="1"/>
    <xf numFmtId="0" fontId="13" fillId="15" borderId="0" xfId="0" applyFont="1" applyFill="1"/>
    <xf numFmtId="0" fontId="0" fillId="15" borderId="0" xfId="0" applyFill="1"/>
    <xf numFmtId="0" fontId="0" fillId="16" borderId="0" xfId="0" applyFill="1"/>
    <xf numFmtId="0" fontId="13" fillId="16" borderId="0" xfId="0" applyFont="1" applyFill="1"/>
    <xf numFmtId="0" fontId="0" fillId="17" borderId="0" xfId="0" applyFill="1"/>
    <xf numFmtId="165" fontId="0" fillId="0" borderId="0" xfId="0" applyNumberFormat="1"/>
    <xf numFmtId="0" fontId="15" fillId="0" borderId="0" xfId="0" applyFont="1"/>
    <xf numFmtId="0" fontId="11" fillId="13" borderId="0" xfId="0" applyFont="1" applyFill="1"/>
    <xf numFmtId="0" fontId="11" fillId="14" borderId="0" xfId="0" applyFont="1" applyFill="1"/>
    <xf numFmtId="0" fontId="15" fillId="14" borderId="0" xfId="0" applyFont="1" applyFill="1"/>
    <xf numFmtId="0" fontId="10" fillId="14" borderId="0" xfId="0" applyFont="1" applyFill="1"/>
    <xf numFmtId="0" fontId="14" fillId="14" borderId="0" xfId="0" applyFont="1" applyFill="1"/>
    <xf numFmtId="0" fontId="30" fillId="0" borderId="0" xfId="0" applyFont="1"/>
    <xf numFmtId="0" fontId="20" fillId="0" borderId="0" xfId="0" applyFont="1"/>
    <xf numFmtId="0" fontId="0" fillId="0" borderId="0" xfId="0" applyAlignment="1">
      <alignment wrapText="1"/>
    </xf>
    <xf numFmtId="0" fontId="20" fillId="0" borderId="0" xfId="0" applyFont="1" applyAlignment="1">
      <alignment wrapText="1"/>
    </xf>
    <xf numFmtId="166" fontId="0" fillId="0" borderId="0" xfId="5" applyNumberFormat="1" applyFont="1"/>
    <xf numFmtId="166" fontId="0" fillId="0" borderId="0" xfId="0" applyNumberFormat="1"/>
    <xf numFmtId="166" fontId="20" fillId="0" borderId="0" xfId="5" applyNumberFormat="1" applyFont="1"/>
    <xf numFmtId="0" fontId="15" fillId="7" borderId="0" xfId="0" applyFont="1" applyFill="1"/>
    <xf numFmtId="0" fontId="31" fillId="0" borderId="0" xfId="0" applyFont="1"/>
    <xf numFmtId="0" fontId="31" fillId="16" borderId="0" xfId="0" applyFont="1" applyFill="1"/>
    <xf numFmtId="0" fontId="11" fillId="16" borderId="0" xfId="0" applyFont="1" applyFill="1"/>
    <xf numFmtId="0" fontId="15" fillId="16" borderId="0" xfId="0" applyFont="1" applyFill="1"/>
    <xf numFmtId="0" fontId="13" fillId="0" borderId="0" xfId="0" applyFont="1" applyAlignment="1">
      <alignment horizontal="left"/>
    </xf>
    <xf numFmtId="0" fontId="13" fillId="17" borderId="0" xfId="0" applyFont="1" applyFill="1"/>
    <xf numFmtId="3" fontId="0" fillId="0" borderId="0" xfId="0" applyNumberFormat="1"/>
    <xf numFmtId="168" fontId="0" fillId="0" borderId="0" xfId="3" applyNumberFormat="1" applyFont="1"/>
    <xf numFmtId="43" fontId="0" fillId="0" borderId="0" xfId="3" applyFont="1"/>
    <xf numFmtId="0" fontId="13" fillId="0" borderId="0" xfId="0" quotePrefix="1" applyFont="1"/>
    <xf numFmtId="168" fontId="13" fillId="0" borderId="0" xfId="3" applyNumberFormat="1" applyFont="1"/>
    <xf numFmtId="2" fontId="0" fillId="0" borderId="1" xfId="0" applyNumberFormat="1" applyBorder="1"/>
    <xf numFmtId="43" fontId="0" fillId="0" borderId="1" xfId="3" applyFont="1" applyBorder="1"/>
    <xf numFmtId="165" fontId="0" fillId="0" borderId="1" xfId="0" applyNumberFormat="1" applyBorder="1"/>
    <xf numFmtId="9" fontId="0" fillId="0" borderId="0" xfId="4" applyFont="1"/>
    <xf numFmtId="168" fontId="0" fillId="0" borderId="1" xfId="3" applyNumberFormat="1" applyFont="1" applyBorder="1"/>
    <xf numFmtId="168" fontId="0" fillId="0" borderId="0" xfId="0" applyNumberFormat="1"/>
    <xf numFmtId="0" fontId="19" fillId="4" borderId="1" xfId="1" applyFont="1" applyFill="1" applyBorder="1" applyAlignment="1">
      <alignment horizontal="center"/>
    </xf>
    <xf numFmtId="0" fontId="33" fillId="4" borderId="2" xfId="1" applyFont="1" applyFill="1" applyBorder="1" applyAlignment="1">
      <alignment vertical="center" wrapText="1"/>
    </xf>
    <xf numFmtId="0" fontId="19" fillId="4" borderId="3" xfId="1" applyFont="1" applyFill="1" applyBorder="1" applyAlignment="1">
      <alignment vertical="center" wrapText="1"/>
    </xf>
    <xf numFmtId="0" fontId="19" fillId="4" borderId="4" xfId="1" applyFont="1" applyFill="1" applyBorder="1" applyAlignment="1">
      <alignment vertical="center" wrapText="1"/>
    </xf>
    <xf numFmtId="0" fontId="34" fillId="5" borderId="2" xfId="1" applyFont="1" applyFill="1" applyBorder="1"/>
    <xf numFmtId="0" fontId="35" fillId="5" borderId="3" xfId="1" applyFont="1" applyFill="1" applyBorder="1"/>
    <xf numFmtId="0" fontId="35" fillId="5" borderId="4" xfId="1" applyFont="1" applyFill="1" applyBorder="1"/>
    <xf numFmtId="0" fontId="0" fillId="2" borderId="2" xfId="0" applyFill="1" applyBorder="1"/>
    <xf numFmtId="0" fontId="0" fillId="2" borderId="3" xfId="0" applyFill="1" applyBorder="1"/>
    <xf numFmtId="0" fontId="0" fillId="2" borderId="4" xfId="0" applyFill="1" applyBorder="1"/>
    <xf numFmtId="0" fontId="0" fillId="3" borderId="2" xfId="0" applyFill="1" applyBorder="1"/>
    <xf numFmtId="0" fontId="0" fillId="3" borderId="3" xfId="0" applyFill="1" applyBorder="1"/>
    <xf numFmtId="0" fontId="0" fillId="3" borderId="4" xfId="0" applyFill="1" applyBorder="1"/>
    <xf numFmtId="0" fontId="0" fillId="0" borderId="10" xfId="0" applyBorder="1"/>
    <xf numFmtId="0" fontId="0" fillId="0" borderId="11" xfId="0" applyBorder="1"/>
    <xf numFmtId="0" fontId="0" fillId="0" borderId="12" xfId="0" applyBorder="1"/>
    <xf numFmtId="0" fontId="0" fillId="0" borderId="5" xfId="0" applyBorder="1"/>
    <xf numFmtId="0" fontId="0" fillId="0" borderId="13" xfId="0" applyBorder="1"/>
    <xf numFmtId="0" fontId="36" fillId="0" borderId="0" xfId="0" applyFont="1"/>
    <xf numFmtId="0" fontId="36" fillId="0" borderId="10" xfId="0" applyFont="1" applyBorder="1"/>
    <xf numFmtId="0" fontId="36" fillId="0" borderId="14" xfId="0" applyFont="1" applyBorder="1"/>
    <xf numFmtId="0" fontId="37" fillId="0" borderId="13" xfId="0" applyFont="1" applyBorder="1"/>
    <xf numFmtId="166" fontId="38" fillId="0" borderId="15" xfId="5" applyNumberFormat="1" applyFont="1" applyBorder="1"/>
    <xf numFmtId="166" fontId="38" fillId="0" borderId="0" xfId="5" applyNumberFormat="1" applyFont="1"/>
    <xf numFmtId="0" fontId="37" fillId="0" borderId="15" xfId="0" applyFont="1" applyBorder="1"/>
    <xf numFmtId="0" fontId="38" fillId="0" borderId="15" xfId="0" applyFont="1" applyBorder="1"/>
    <xf numFmtId="0" fontId="38" fillId="0" borderId="0" xfId="0" applyFont="1"/>
    <xf numFmtId="0" fontId="39" fillId="0" borderId="14" xfId="0" applyFont="1" applyBorder="1"/>
    <xf numFmtId="0" fontId="0" fillId="0" borderId="14" xfId="0" applyBorder="1"/>
    <xf numFmtId="0" fontId="5" fillId="17" borderId="0" xfId="0" applyFont="1" applyFill="1"/>
    <xf numFmtId="0" fontId="0" fillId="17" borderId="1" xfId="0" applyFill="1" applyBorder="1"/>
    <xf numFmtId="0" fontId="5" fillId="17" borderId="1" xfId="0" applyFont="1" applyFill="1" applyBorder="1" applyAlignment="1">
      <alignment horizontal="center"/>
    </xf>
    <xf numFmtId="0" fontId="0" fillId="17" borderId="0" xfId="0" applyFill="1" applyAlignment="1">
      <alignment horizontal="center"/>
    </xf>
    <xf numFmtId="0" fontId="0" fillId="17" borderId="1" xfId="0" applyFill="1" applyBorder="1" applyAlignment="1">
      <alignment horizontal="center"/>
    </xf>
    <xf numFmtId="0" fontId="5" fillId="17" borderId="2" xfId="0" applyFont="1" applyFill="1" applyBorder="1"/>
    <xf numFmtId="0" fontId="40" fillId="17" borderId="1" xfId="0" applyFont="1" applyFill="1" applyBorder="1"/>
    <xf numFmtId="0" fontId="5" fillId="17" borderId="14" xfId="0" applyFont="1" applyFill="1" applyBorder="1" applyAlignment="1">
      <alignment horizontal="center" vertical="center" wrapText="1"/>
    </xf>
    <xf numFmtId="0" fontId="8" fillId="17" borderId="2" xfId="0" applyFont="1" applyFill="1" applyBorder="1"/>
    <xf numFmtId="0" fontId="9" fillId="17" borderId="3" xfId="0" applyFont="1" applyFill="1" applyBorder="1"/>
    <xf numFmtId="0" fontId="9" fillId="17" borderId="4" xfId="0" applyFont="1" applyFill="1" applyBorder="1"/>
    <xf numFmtId="3" fontId="8" fillId="17" borderId="1" xfId="0" applyNumberFormat="1" applyFont="1" applyFill="1" applyBorder="1"/>
    <xf numFmtId="3" fontId="0" fillId="17" borderId="0" xfId="0" applyNumberFormat="1" applyFill="1"/>
    <xf numFmtId="0" fontId="5" fillId="17" borderId="5" xfId="0" applyFont="1" applyFill="1" applyBorder="1"/>
    <xf numFmtId="0" fontId="0" fillId="17" borderId="6" xfId="0" applyFill="1" applyBorder="1"/>
    <xf numFmtId="0" fontId="0" fillId="17" borderId="7" xfId="0" applyFill="1" applyBorder="1"/>
    <xf numFmtId="3" fontId="5" fillId="17" borderId="16" xfId="0" applyNumberFormat="1" applyFont="1" applyFill="1" applyBorder="1"/>
    <xf numFmtId="0" fontId="0" fillId="17" borderId="8" xfId="0" applyFill="1" applyBorder="1" applyAlignment="1">
      <alignment horizontal="left" indent="2"/>
    </xf>
    <xf numFmtId="0" fontId="0" fillId="17" borderId="9" xfId="0" applyFill="1" applyBorder="1"/>
    <xf numFmtId="3" fontId="0" fillId="17" borderId="17" xfId="0" applyNumberFormat="1" applyFill="1" applyBorder="1"/>
    <xf numFmtId="0" fontId="14" fillId="17" borderId="0" xfId="0" applyFont="1" applyFill="1" applyAlignment="1">
      <alignment horizontal="left"/>
    </xf>
    <xf numFmtId="0" fontId="4" fillId="17" borderId="0" xfId="0" applyFont="1" applyFill="1"/>
    <xf numFmtId="0" fontId="0" fillId="17" borderId="10" xfId="0" applyFill="1" applyBorder="1" applyAlignment="1">
      <alignment horizontal="left" indent="2"/>
    </xf>
    <xf numFmtId="0" fontId="0" fillId="17" borderId="11" xfId="0" applyFill="1" applyBorder="1"/>
    <xf numFmtId="0" fontId="0" fillId="17" borderId="12" xfId="0" applyFill="1" applyBorder="1"/>
    <xf numFmtId="0" fontId="14" fillId="17" borderId="0" xfId="0" quotePrefix="1" applyFont="1" applyFill="1" applyAlignment="1">
      <alignment horizontal="left"/>
    </xf>
    <xf numFmtId="0" fontId="14" fillId="17" borderId="11" xfId="0" applyFont="1" applyFill="1" applyBorder="1"/>
    <xf numFmtId="0" fontId="0" fillId="17" borderId="3" xfId="0" applyFill="1" applyBorder="1"/>
    <xf numFmtId="0" fontId="0" fillId="17" borderId="4" xfId="0" applyFill="1" applyBorder="1"/>
    <xf numFmtId="3" fontId="5" fillId="17" borderId="1" xfId="0" applyNumberFormat="1" applyFont="1" applyFill="1" applyBorder="1"/>
    <xf numFmtId="0" fontId="12" fillId="4" borderId="8" xfId="1" applyFont="1" applyFill="1" applyBorder="1" applyAlignment="1">
      <alignment horizontal="left" indent="2"/>
    </xf>
    <xf numFmtId="0" fontId="12" fillId="4" borderId="0" xfId="1" applyFont="1" applyFill="1"/>
    <xf numFmtId="0" fontId="12" fillId="4" borderId="9" xfId="1" applyFont="1" applyFill="1" applyBorder="1"/>
    <xf numFmtId="0" fontId="12" fillId="4" borderId="8" xfId="1" applyFont="1" applyFill="1" applyBorder="1" applyAlignment="1">
      <alignment horizontal="left" vertical="top" indent="6"/>
    </xf>
    <xf numFmtId="0" fontId="12" fillId="4" borderId="0" xfId="1" applyFont="1" applyFill="1" applyAlignment="1">
      <alignment horizontal="left" vertical="top"/>
    </xf>
    <xf numFmtId="0" fontId="13" fillId="0" borderId="0" xfId="0" applyFont="1" applyAlignment="1">
      <alignment horizontal="left" vertical="top"/>
    </xf>
    <xf numFmtId="0" fontId="15" fillId="0" borderId="0" xfId="0" applyFont="1" applyAlignment="1">
      <alignment vertical="top"/>
    </xf>
    <xf numFmtId="0" fontId="13" fillId="0" borderId="0" xfId="0" applyFont="1" applyAlignment="1">
      <alignment vertical="top"/>
    </xf>
    <xf numFmtId="0" fontId="13" fillId="7" borderId="0" xfId="0" applyFont="1" applyFill="1" applyAlignment="1">
      <alignment horizontal="left"/>
    </xf>
    <xf numFmtId="0" fontId="15" fillId="7" borderId="0" xfId="0" applyFont="1" applyFill="1" applyAlignment="1">
      <alignment vertical="top"/>
    </xf>
    <xf numFmtId="0" fontId="41" fillId="18" borderId="18" xfId="0" applyFont="1" applyFill="1" applyBorder="1" applyAlignment="1">
      <alignment horizontal="center" vertical="top" wrapText="1"/>
    </xf>
    <xf numFmtId="0" fontId="41" fillId="18" borderId="3" xfId="0" applyFont="1" applyFill="1" applyBorder="1" applyAlignment="1">
      <alignment horizontal="center" vertical="top" wrapText="1"/>
    </xf>
    <xf numFmtId="0" fontId="41" fillId="18" borderId="13" xfId="0" applyFont="1" applyFill="1" applyBorder="1" applyAlignment="1">
      <alignment horizontal="center" vertical="top" wrapText="1"/>
    </xf>
    <xf numFmtId="0" fontId="41" fillId="18" borderId="0" xfId="0" applyFont="1" applyFill="1" applyAlignment="1">
      <alignment horizontal="center" vertical="top" wrapText="1"/>
    </xf>
    <xf numFmtId="0" fontId="42" fillId="4" borderId="19" xfId="0" applyFont="1" applyFill="1" applyBorder="1" applyAlignment="1">
      <alignment horizontal="center"/>
    </xf>
    <xf numFmtId="0" fontId="42" fillId="4" borderId="20" xfId="0" applyFont="1" applyFill="1" applyBorder="1" applyAlignment="1">
      <alignment horizontal="center"/>
    </xf>
    <xf numFmtId="0" fontId="43" fillId="2" borderId="3" xfId="0" applyFont="1" applyFill="1" applyBorder="1" applyAlignment="1">
      <alignment horizontal="center"/>
    </xf>
    <xf numFmtId="3" fontId="44" fillId="2" borderId="1" xfId="0" applyNumberFormat="1" applyFont="1" applyFill="1" applyBorder="1" applyAlignment="1">
      <alignment horizontal="center"/>
    </xf>
    <xf numFmtId="3" fontId="44" fillId="2" borderId="4" xfId="0" applyNumberFormat="1" applyFont="1" applyFill="1" applyBorder="1" applyAlignment="1">
      <alignment horizontal="left"/>
    </xf>
    <xf numFmtId="1" fontId="44" fillId="2" borderId="21" xfId="0" applyNumberFormat="1" applyFont="1" applyFill="1" applyBorder="1"/>
    <xf numFmtId="1" fontId="44" fillId="2" borderId="4" xfId="0" applyNumberFormat="1" applyFont="1" applyFill="1" applyBorder="1"/>
    <xf numFmtId="0" fontId="42" fillId="4" borderId="22" xfId="0" applyFont="1" applyFill="1" applyBorder="1" applyAlignment="1">
      <alignment horizontal="center"/>
    </xf>
    <xf numFmtId="0" fontId="42" fillId="4" borderId="23" xfId="0" applyFont="1" applyFill="1" applyBorder="1" applyAlignment="1">
      <alignment horizontal="center"/>
    </xf>
    <xf numFmtId="3" fontId="44" fillId="2" borderId="4" xfId="0" applyNumberFormat="1" applyFont="1" applyFill="1" applyBorder="1" applyAlignment="1">
      <alignment horizontal="center"/>
    </xf>
    <xf numFmtId="0" fontId="42" fillId="4" borderId="24" xfId="0" applyFont="1" applyFill="1" applyBorder="1" applyAlignment="1">
      <alignment horizontal="center"/>
    </xf>
    <xf numFmtId="0" fontId="42" fillId="4" borderId="25" xfId="0" applyFont="1" applyFill="1" applyBorder="1" applyAlignment="1">
      <alignment horizontal="center"/>
    </xf>
    <xf numFmtId="0" fontId="43" fillId="2" borderId="6" xfId="0" applyFont="1" applyFill="1" applyBorder="1" applyAlignment="1">
      <alignment horizontal="center"/>
    </xf>
    <xf numFmtId="3" fontId="44" fillId="2" borderId="26" xfId="0" applyNumberFormat="1" applyFont="1" applyFill="1" applyBorder="1" applyAlignment="1">
      <alignment horizontal="center"/>
    </xf>
    <xf numFmtId="3" fontId="44" fillId="2" borderId="7" xfId="0" applyNumberFormat="1" applyFont="1" applyFill="1" applyBorder="1" applyAlignment="1">
      <alignment horizontal="center"/>
    </xf>
    <xf numFmtId="0" fontId="44" fillId="4" borderId="0" xfId="0" applyFont="1" applyFill="1" applyAlignment="1">
      <alignment horizontal="center"/>
    </xf>
    <xf numFmtId="0" fontId="44" fillId="2" borderId="27" xfId="0" applyFont="1" applyFill="1" applyBorder="1" applyAlignment="1">
      <alignment horizontal="center"/>
    </xf>
    <xf numFmtId="0" fontId="44" fillId="2" borderId="10" xfId="0" applyFont="1" applyFill="1" applyBorder="1" applyAlignment="1">
      <alignment horizontal="center"/>
    </xf>
    <xf numFmtId="0" fontId="44" fillId="19" borderId="27" xfId="0" applyFont="1" applyFill="1" applyBorder="1" applyAlignment="1">
      <alignment wrapText="1"/>
    </xf>
    <xf numFmtId="1" fontId="44" fillId="2" borderId="30" xfId="0" applyNumberFormat="1" applyFont="1" applyFill="1" applyBorder="1"/>
    <xf numFmtId="1" fontId="44" fillId="2" borderId="29" xfId="0" applyNumberFormat="1" applyFont="1" applyFill="1" applyBorder="1"/>
    <xf numFmtId="0" fontId="44" fillId="19" borderId="28" xfId="0" applyFont="1" applyFill="1" applyBorder="1"/>
    <xf numFmtId="3" fontId="44" fillId="2" borderId="14" xfId="0" applyNumberFormat="1" applyFont="1" applyFill="1" applyBorder="1" applyAlignment="1">
      <alignment horizontal="center"/>
    </xf>
    <xf numFmtId="168" fontId="44" fillId="2" borderId="27" xfId="3" applyNumberFormat="1" applyFont="1" applyFill="1" applyBorder="1"/>
    <xf numFmtId="2" fontId="0" fillId="0" borderId="0" xfId="0" applyNumberFormat="1"/>
    <xf numFmtId="0" fontId="0" fillId="17" borderId="0" xfId="0" applyFill="1" applyAlignment="1">
      <alignment horizontal="left" vertical="top" wrapText="1"/>
    </xf>
    <xf numFmtId="0" fontId="0" fillId="17" borderId="8" xfId="0" applyFill="1" applyBorder="1" applyAlignment="1">
      <alignment horizontal="left" vertical="top" indent="2"/>
    </xf>
    <xf numFmtId="3" fontId="0" fillId="17" borderId="0" xfId="0" applyNumberFormat="1" applyFill="1" applyAlignment="1">
      <alignment horizontal="left" vertical="top"/>
    </xf>
    <xf numFmtId="0" fontId="11" fillId="0" borderId="13" xfId="0" applyFont="1" applyBorder="1"/>
    <xf numFmtId="0" fontId="0" fillId="2" borderId="27" xfId="0" applyFill="1" applyBorder="1"/>
    <xf numFmtId="3" fontId="0" fillId="2" borderId="27" xfId="0" applyNumberFormat="1" applyFill="1" applyBorder="1"/>
    <xf numFmtId="3" fontId="0" fillId="2" borderId="32" xfId="0" applyNumberFormat="1" applyFill="1" applyBorder="1"/>
    <xf numFmtId="0" fontId="0" fillId="2" borderId="1" xfId="0" applyFill="1" applyBorder="1"/>
    <xf numFmtId="0" fontId="0" fillId="2" borderId="34" xfId="0" applyFill="1" applyBorder="1"/>
    <xf numFmtId="0" fontId="0" fillId="2" borderId="26" xfId="0" applyFill="1" applyBorder="1"/>
    <xf numFmtId="3" fontId="0" fillId="2" borderId="26" xfId="0" applyNumberFormat="1" applyFill="1" applyBorder="1"/>
    <xf numFmtId="3" fontId="0" fillId="2" borderId="36" xfId="0" applyNumberFormat="1" applyFill="1" applyBorder="1"/>
    <xf numFmtId="0" fontId="0" fillId="20" borderId="27" xfId="0" applyFill="1" applyBorder="1"/>
    <xf numFmtId="3" fontId="0" fillId="20" borderId="27" xfId="0" applyNumberFormat="1" applyFill="1" applyBorder="1"/>
    <xf numFmtId="3" fontId="0" fillId="20" borderId="32" xfId="0" applyNumberFormat="1" applyFill="1" applyBorder="1"/>
    <xf numFmtId="0" fontId="0" fillId="20" borderId="1" xfId="0" applyFill="1" applyBorder="1"/>
    <xf numFmtId="3" fontId="0" fillId="20" borderId="1" xfId="0" applyNumberFormat="1" applyFill="1" applyBorder="1"/>
    <xf numFmtId="3" fontId="0" fillId="20" borderId="34" xfId="0" applyNumberFormat="1" applyFill="1" applyBorder="1"/>
    <xf numFmtId="0" fontId="0" fillId="20" borderId="26" xfId="0" applyFill="1" applyBorder="1"/>
    <xf numFmtId="3" fontId="0" fillId="20" borderId="26" xfId="0" applyNumberFormat="1" applyFill="1" applyBorder="1"/>
    <xf numFmtId="3" fontId="0" fillId="20" borderId="36" xfId="0" applyNumberFormat="1" applyFill="1" applyBorder="1"/>
    <xf numFmtId="1" fontId="0" fillId="2" borderId="27" xfId="0" applyNumberFormat="1" applyFill="1" applyBorder="1"/>
    <xf numFmtId="1" fontId="0" fillId="2" borderId="32" xfId="0" applyNumberFormat="1" applyFill="1" applyBorder="1"/>
    <xf numFmtId="3" fontId="0" fillId="2" borderId="1" xfId="0" applyNumberFormat="1" applyFill="1" applyBorder="1"/>
    <xf numFmtId="3" fontId="0" fillId="2" borderId="34" xfId="0" applyNumberFormat="1" applyFill="1" applyBorder="1"/>
    <xf numFmtId="0" fontId="11" fillId="0" borderId="15" xfId="0" applyFont="1" applyBorder="1"/>
    <xf numFmtId="0" fontId="0" fillId="20" borderId="27" xfId="0" applyFill="1" applyBorder="1" applyAlignment="1">
      <alignment vertical="center"/>
    </xf>
    <xf numFmtId="0" fontId="0" fillId="2" borderId="27" xfId="0" applyFill="1" applyBorder="1" applyAlignment="1">
      <alignment vertical="center"/>
    </xf>
    <xf numFmtId="0" fontId="11" fillId="0" borderId="1" xfId="0" applyFont="1" applyBorder="1" applyAlignment="1">
      <alignment vertical="center" wrapText="1"/>
    </xf>
    <xf numFmtId="0" fontId="11" fillId="0" borderId="2" xfId="0" applyFont="1" applyBorder="1"/>
    <xf numFmtId="0" fontId="11" fillId="0" borderId="3" xfId="0" applyFont="1" applyBorder="1"/>
    <xf numFmtId="0" fontId="11" fillId="0" borderId="4" xfId="0" applyFont="1" applyBorder="1"/>
    <xf numFmtId="0" fontId="11" fillId="0" borderId="1" xfId="0" applyFont="1" applyBorder="1" applyAlignment="1">
      <alignment vertical="center"/>
    </xf>
    <xf numFmtId="0" fontId="0" fillId="0" borderId="37" xfId="0" applyBorder="1" applyAlignment="1">
      <alignment horizontal="left"/>
    </xf>
    <xf numFmtId="0" fontId="0" fillId="0" borderId="38" xfId="0" applyBorder="1" applyAlignment="1">
      <alignment horizontal="left"/>
    </xf>
    <xf numFmtId="168" fontId="0" fillId="0" borderId="38" xfId="3" applyNumberFormat="1" applyFont="1" applyBorder="1"/>
    <xf numFmtId="168" fontId="0" fillId="0" borderId="39" xfId="3" applyNumberFormat="1" applyFont="1" applyBorder="1"/>
    <xf numFmtId="0" fontId="0" fillId="0" borderId="40" xfId="0" applyBorder="1" applyAlignment="1">
      <alignment horizontal="left" vertical="top"/>
    </xf>
    <xf numFmtId="168" fontId="0" fillId="0" borderId="0" xfId="3" applyNumberFormat="1" applyFont="1" applyBorder="1"/>
    <xf numFmtId="168" fontId="0" fillId="0" borderId="41" xfId="3" applyNumberFormat="1" applyFont="1" applyBorder="1"/>
    <xf numFmtId="0" fontId="0" fillId="0" borderId="42" xfId="0" applyBorder="1" applyAlignment="1">
      <alignment horizontal="left"/>
    </xf>
    <xf numFmtId="0" fontId="0" fillId="0" borderId="43" xfId="0" applyBorder="1" applyAlignment="1">
      <alignment horizontal="left"/>
    </xf>
    <xf numFmtId="0" fontId="0" fillId="0" borderId="43" xfId="0" applyBorder="1"/>
    <xf numFmtId="168" fontId="0" fillId="0" borderId="43" xfId="3" applyNumberFormat="1" applyFont="1" applyBorder="1"/>
    <xf numFmtId="168" fontId="0" fillId="0" borderId="44" xfId="3" applyNumberFormat="1" applyFont="1" applyBorder="1"/>
    <xf numFmtId="168" fontId="0" fillId="0" borderId="37" xfId="3" applyNumberFormat="1" applyFont="1" applyBorder="1"/>
    <xf numFmtId="168" fontId="0" fillId="0" borderId="40" xfId="3" applyNumberFormat="1" applyFont="1" applyBorder="1"/>
    <xf numFmtId="168" fontId="0" fillId="0" borderId="42" xfId="3" applyNumberFormat="1" applyFont="1" applyBorder="1"/>
    <xf numFmtId="168" fontId="0" fillId="0" borderId="45" xfId="3" applyNumberFormat="1" applyFont="1" applyBorder="1"/>
    <xf numFmtId="168" fontId="0" fillId="0" borderId="46" xfId="3" applyNumberFormat="1" applyFont="1" applyBorder="1"/>
    <xf numFmtId="168" fontId="0" fillId="0" borderId="47" xfId="3" applyNumberFormat="1" applyFont="1" applyBorder="1"/>
    <xf numFmtId="0" fontId="0" fillId="0" borderId="39" xfId="0" applyBorder="1"/>
    <xf numFmtId="0" fontId="0" fillId="0" borderId="41" xfId="0" applyBorder="1"/>
    <xf numFmtId="0" fontId="0" fillId="0" borderId="44" xfId="0" applyBorder="1"/>
    <xf numFmtId="0" fontId="45" fillId="21" borderId="0" xfId="0" applyFont="1" applyFill="1"/>
    <xf numFmtId="0" fontId="19" fillId="21" borderId="0" xfId="1" applyFont="1" applyFill="1" applyAlignment="1">
      <alignment vertical="top"/>
    </xf>
    <xf numFmtId="0" fontId="19" fillId="21" borderId="9" xfId="1" applyFont="1" applyFill="1" applyBorder="1"/>
    <xf numFmtId="14" fontId="45" fillId="21" borderId="0" xfId="0" applyNumberFormat="1" applyFont="1" applyFill="1"/>
    <xf numFmtId="0" fontId="45" fillId="21" borderId="0" xfId="0" applyFont="1" applyFill="1" applyAlignment="1">
      <alignment horizontal="right"/>
    </xf>
    <xf numFmtId="0" fontId="0" fillId="3" borderId="1" xfId="0" applyFill="1" applyBorder="1"/>
    <xf numFmtId="3" fontId="0" fillId="0" borderId="0" xfId="0" applyNumberFormat="1" applyAlignment="1">
      <alignment horizontal="right"/>
    </xf>
    <xf numFmtId="1" fontId="0" fillId="0" borderId="1" xfId="0" applyNumberFormat="1" applyBorder="1"/>
    <xf numFmtId="169" fontId="11" fillId="0" borderId="0" xfId="0" applyNumberFormat="1" applyFont="1" applyAlignment="1">
      <alignment horizontal="left"/>
    </xf>
    <xf numFmtId="170" fontId="11" fillId="0" borderId="0" xfId="0" applyNumberFormat="1" applyFont="1" applyAlignment="1">
      <alignment horizontal="left"/>
    </xf>
    <xf numFmtId="0" fontId="19" fillId="21" borderId="0" xfId="1" applyFont="1" applyFill="1" applyAlignment="1">
      <alignment horizontal="left" vertical="top"/>
    </xf>
    <xf numFmtId="3" fontId="0" fillId="0" borderId="0" xfId="0" applyNumberFormat="1" applyAlignment="1">
      <alignment horizontal="left"/>
    </xf>
    <xf numFmtId="166" fontId="11" fillId="0" borderId="0" xfId="5" applyNumberFormat="1" applyFont="1"/>
    <xf numFmtId="170" fontId="0" fillId="0" borderId="0" xfId="0" applyNumberFormat="1" applyAlignment="1">
      <alignment horizontal="left"/>
    </xf>
    <xf numFmtId="0" fontId="4" fillId="4" borderId="8" xfId="1" applyFill="1" applyBorder="1" applyAlignment="1">
      <alignment horizontal="left" vertical="top" indent="2"/>
    </xf>
    <xf numFmtId="0" fontId="4" fillId="4" borderId="8" xfId="1" applyFill="1" applyBorder="1" applyAlignment="1">
      <alignment horizontal="left" indent="2"/>
    </xf>
    <xf numFmtId="166" fontId="0" fillId="0" borderId="0" xfId="5" applyNumberFormat="1" applyFont="1" applyAlignment="1">
      <alignment vertical="top"/>
    </xf>
    <xf numFmtId="0" fontId="19" fillId="4" borderId="8" xfId="1" applyFont="1" applyFill="1" applyBorder="1" applyAlignment="1">
      <alignment vertical="top"/>
    </xf>
    <xf numFmtId="0" fontId="45" fillId="0" borderId="0" xfId="0" applyFont="1"/>
    <xf numFmtId="171" fontId="0" fillId="0" borderId="0" xfId="5" applyNumberFormat="1" applyFont="1"/>
    <xf numFmtId="164" fontId="0" fillId="0" borderId="0" xfId="5" applyFont="1"/>
    <xf numFmtId="164" fontId="11" fillId="0" borderId="0" xfId="5" applyFont="1"/>
    <xf numFmtId="164" fontId="0" fillId="0" borderId="0" xfId="5" applyFont="1" applyAlignment="1">
      <alignment vertical="top"/>
    </xf>
    <xf numFmtId="17" fontId="0" fillId="0" borderId="0" xfId="0" applyNumberFormat="1"/>
    <xf numFmtId="164" fontId="0" fillId="0" borderId="0" xfId="0" applyNumberFormat="1"/>
    <xf numFmtId="43" fontId="0" fillId="0" borderId="0" xfId="0" applyNumberFormat="1"/>
    <xf numFmtId="168" fontId="0" fillId="0" borderId="0" xfId="3" applyNumberFormat="1" applyFont="1" applyAlignment="1"/>
    <xf numFmtId="2" fontId="10" fillId="0" borderId="1" xfId="0" applyNumberFormat="1" applyFont="1" applyBorder="1"/>
    <xf numFmtId="2" fontId="11" fillId="0" borderId="1" xfId="0" applyNumberFormat="1" applyFont="1" applyBorder="1"/>
    <xf numFmtId="2" fontId="15" fillId="0" borderId="1" xfId="0" applyNumberFormat="1" applyFont="1" applyBorder="1"/>
    <xf numFmtId="2" fontId="13" fillId="0" borderId="1" xfId="0" applyNumberFormat="1" applyFont="1" applyBorder="1"/>
    <xf numFmtId="2" fontId="11" fillId="0" borderId="1" xfId="0" applyNumberFormat="1" applyFont="1" applyBorder="1" applyAlignment="1">
      <alignment vertical="top"/>
    </xf>
    <xf numFmtId="2" fontId="14" fillId="0" borderId="1" xfId="0" applyNumberFormat="1" applyFont="1" applyBorder="1"/>
    <xf numFmtId="2" fontId="14" fillId="0" borderId="1" xfId="0" quotePrefix="1" applyNumberFormat="1" applyFont="1" applyBorder="1"/>
    <xf numFmtId="2" fontId="22" fillId="4" borderId="0" xfId="1" applyNumberFormat="1" applyFont="1" applyFill="1" applyAlignment="1">
      <alignment vertical="top" wrapText="1"/>
    </xf>
    <xf numFmtId="2" fontId="10" fillId="0" borderId="1" xfId="0" applyNumberFormat="1" applyFont="1" applyBorder="1" applyAlignment="1">
      <alignment vertical="top"/>
    </xf>
    <xf numFmtId="0" fontId="9" fillId="5" borderId="48" xfId="1" applyFont="1" applyFill="1" applyBorder="1"/>
    <xf numFmtId="0" fontId="9" fillId="5" borderId="49" xfId="1" applyFont="1" applyFill="1" applyBorder="1"/>
    <xf numFmtId="0" fontId="4" fillId="4" borderId="41" xfId="1" applyFill="1" applyBorder="1" applyAlignment="1">
      <alignment vertical="top"/>
    </xf>
    <xf numFmtId="0" fontId="4" fillId="4" borderId="41" xfId="1" applyFill="1" applyBorder="1"/>
    <xf numFmtId="0" fontId="4" fillId="4" borderId="42" xfId="1" applyFill="1" applyBorder="1" applyAlignment="1">
      <alignment horizontal="left" indent="2"/>
    </xf>
    <xf numFmtId="0" fontId="4" fillId="4" borderId="43" xfId="1" applyFill="1" applyBorder="1"/>
    <xf numFmtId="0" fontId="4" fillId="4" borderId="44" xfId="1" applyFill="1" applyBorder="1"/>
    <xf numFmtId="0" fontId="8" fillId="5" borderId="30" xfId="1" applyFont="1" applyFill="1" applyBorder="1"/>
    <xf numFmtId="0" fontId="4" fillId="4" borderId="40" xfId="1" applyFill="1" applyBorder="1" applyAlignment="1">
      <alignment horizontal="left" vertical="top" indent="2"/>
    </xf>
    <xf numFmtId="0" fontId="4" fillId="4" borderId="40" xfId="1" applyFill="1" applyBorder="1" applyAlignment="1">
      <alignment horizontal="left" indent="2"/>
    </xf>
    <xf numFmtId="0" fontId="46" fillId="0" borderId="15" xfId="0" applyFont="1" applyBorder="1"/>
    <xf numFmtId="43" fontId="38" fillId="0" borderId="0" xfId="0" applyNumberFormat="1" applyFont="1"/>
    <xf numFmtId="0" fontId="29" fillId="0" borderId="0" xfId="6"/>
    <xf numFmtId="165" fontId="29" fillId="0" borderId="0" xfId="6" applyNumberFormat="1"/>
    <xf numFmtId="3" fontId="29" fillId="0" borderId="0" xfId="6" applyNumberFormat="1"/>
    <xf numFmtId="0" fontId="29" fillId="0" borderId="0" xfId="6" applyAlignment="1">
      <alignment horizontal="left"/>
    </xf>
    <xf numFmtId="0" fontId="11" fillId="0" borderId="0" xfId="6" applyFont="1"/>
    <xf numFmtId="0" fontId="11" fillId="8" borderId="0" xfId="6" applyFont="1" applyFill="1"/>
    <xf numFmtId="0" fontId="14" fillId="0" borderId="0" xfId="6" applyFont="1"/>
    <xf numFmtId="0" fontId="10" fillId="0" borderId="0" xfId="6" applyFont="1"/>
    <xf numFmtId="0" fontId="10" fillId="8" borderId="0" xfId="6" applyFont="1" applyFill="1"/>
    <xf numFmtId="0" fontId="14" fillId="0" borderId="0" xfId="6" applyFont="1" applyAlignment="1">
      <alignment horizontal="center"/>
    </xf>
    <xf numFmtId="0" fontId="29" fillId="0" borderId="0" xfId="6" applyAlignment="1">
      <alignment horizontal="center"/>
    </xf>
    <xf numFmtId="0" fontId="11" fillId="0" borderId="0" xfId="6" applyFont="1" applyAlignment="1">
      <alignment horizontal="center"/>
    </xf>
    <xf numFmtId="0" fontId="25" fillId="0" borderId="0" xfId="6" applyFont="1"/>
    <xf numFmtId="0" fontId="29" fillId="0" borderId="0" xfId="6" applyAlignment="1">
      <alignment horizontal="right"/>
    </xf>
    <xf numFmtId="0" fontId="11" fillId="0" borderId="0" xfId="6" applyFont="1" applyAlignment="1">
      <alignment horizontal="right"/>
    </xf>
    <xf numFmtId="0" fontId="13" fillId="0" borderId="0" xfId="6" applyFont="1"/>
    <xf numFmtId="0" fontId="27" fillId="0" borderId="0" xfId="6" applyFont="1"/>
    <xf numFmtId="0" fontId="14" fillId="0" borderId="0" xfId="6" applyFont="1" applyAlignment="1">
      <alignment horizontal="left"/>
    </xf>
    <xf numFmtId="0" fontId="25" fillId="8" borderId="0" xfId="6" applyFont="1" applyFill="1"/>
    <xf numFmtId="0" fontId="11" fillId="0" borderId="0" xfId="6" applyFont="1" applyAlignment="1">
      <alignment horizontal="center" wrapText="1"/>
    </xf>
    <xf numFmtId="14" fontId="20" fillId="0" borderId="0" xfId="6" applyNumberFormat="1" applyFont="1" applyAlignment="1">
      <alignment horizontal="left"/>
    </xf>
    <xf numFmtId="165" fontId="24" fillId="0" borderId="0" xfId="6" applyNumberFormat="1" applyFont="1" applyAlignment="1">
      <alignment horizontal="left"/>
    </xf>
    <xf numFmtId="165" fontId="20" fillId="0" borderId="0" xfId="6" applyNumberFormat="1" applyFont="1" applyAlignment="1">
      <alignment horizontal="left"/>
    </xf>
    <xf numFmtId="0" fontId="23" fillId="0" borderId="0" xfId="6" applyFont="1"/>
    <xf numFmtId="167" fontId="0" fillId="0" borderId="0" xfId="3" applyNumberFormat="1" applyFont="1"/>
    <xf numFmtId="168" fontId="29" fillId="0" borderId="0" xfId="3" applyNumberFormat="1"/>
    <xf numFmtId="0" fontId="0" fillId="0" borderId="0" xfId="0" pivotButton="1"/>
    <xf numFmtId="0" fontId="0" fillId="0" borderId="0" xfId="0" applyAlignment="1">
      <alignment horizontal="left" indent="1"/>
    </xf>
    <xf numFmtId="172" fontId="0" fillId="0" borderId="0" xfId="0" applyNumberFormat="1"/>
    <xf numFmtId="3" fontId="14" fillId="0" borderId="0" xfId="6" applyNumberFormat="1" applyFont="1"/>
    <xf numFmtId="0" fontId="36" fillId="22" borderId="6" xfId="0" applyFont="1" applyFill="1" applyBorder="1"/>
    <xf numFmtId="0" fontId="36" fillId="20" borderId="6" xfId="0" applyFont="1" applyFill="1" applyBorder="1"/>
    <xf numFmtId="0" fontId="36" fillId="20" borderId="7" xfId="0" applyFont="1" applyFill="1" applyBorder="1"/>
    <xf numFmtId="0" fontId="36" fillId="20" borderId="11" xfId="0" applyFont="1" applyFill="1" applyBorder="1"/>
    <xf numFmtId="0" fontId="36" fillId="23" borderId="11" xfId="0" applyFont="1" applyFill="1" applyBorder="1"/>
    <xf numFmtId="0" fontId="36" fillId="23" borderId="12" xfId="0" applyFont="1" applyFill="1" applyBorder="1"/>
    <xf numFmtId="0" fontId="47" fillId="17" borderId="2" xfId="0" applyFont="1" applyFill="1" applyBorder="1"/>
    <xf numFmtId="0" fontId="47" fillId="17" borderId="3" xfId="0" applyFont="1" applyFill="1" applyBorder="1"/>
    <xf numFmtId="0" fontId="48" fillId="17" borderId="2" xfId="0" applyFont="1" applyFill="1" applyBorder="1"/>
    <xf numFmtId="0" fontId="48" fillId="0" borderId="2" xfId="0" applyFont="1" applyBorder="1" applyAlignment="1">
      <alignment horizontal="center"/>
    </xf>
    <xf numFmtId="0" fontId="48" fillId="0" borderId="3" xfId="0" applyFont="1" applyBorder="1" applyAlignment="1">
      <alignment horizontal="center"/>
    </xf>
    <xf numFmtId="0" fontId="14" fillId="17" borderId="0" xfId="0" applyFont="1" applyFill="1" applyAlignment="1">
      <alignment horizontal="left" vertical="top" wrapText="1"/>
    </xf>
    <xf numFmtId="0" fontId="0" fillId="17" borderId="53" xfId="0" applyFill="1" applyBorder="1"/>
    <xf numFmtId="0" fontId="14" fillId="17" borderId="0" xfId="0" applyFont="1" applyFill="1"/>
    <xf numFmtId="0" fontId="5" fillId="17" borderId="50" xfId="0" applyFont="1" applyFill="1" applyBorder="1"/>
    <xf numFmtId="3" fontId="5" fillId="17" borderId="55" xfId="0" applyNumberFormat="1" applyFont="1" applyFill="1" applyBorder="1"/>
    <xf numFmtId="0" fontId="48" fillId="22" borderId="3" xfId="0" applyFont="1" applyFill="1" applyBorder="1" applyAlignment="1">
      <alignment horizontal="center"/>
    </xf>
    <xf numFmtId="0" fontId="48" fillId="20" borderId="3" xfId="0" applyFont="1" applyFill="1" applyBorder="1" applyAlignment="1">
      <alignment horizontal="center"/>
    </xf>
    <xf numFmtId="0" fontId="48" fillId="20" borderId="2" xfId="0" applyFont="1" applyFill="1" applyBorder="1" applyAlignment="1">
      <alignment horizontal="center"/>
    </xf>
    <xf numFmtId="0" fontId="48" fillId="23" borderId="3" xfId="0" applyFont="1" applyFill="1" applyBorder="1" applyAlignment="1">
      <alignment horizontal="center"/>
    </xf>
    <xf numFmtId="0" fontId="5" fillId="17" borderId="12" xfId="0" applyFont="1" applyFill="1" applyBorder="1" applyAlignment="1">
      <alignment horizontal="center" vertical="center" wrapText="1"/>
    </xf>
    <xf numFmtId="3" fontId="8" fillId="17" borderId="4" xfId="0" applyNumberFormat="1" applyFont="1" applyFill="1" applyBorder="1"/>
    <xf numFmtId="3" fontId="5" fillId="17" borderId="57" xfId="0" applyNumberFormat="1" applyFont="1" applyFill="1" applyBorder="1"/>
    <xf numFmtId="3" fontId="0" fillId="17" borderId="58" xfId="0" applyNumberFormat="1" applyFill="1" applyBorder="1"/>
    <xf numFmtId="3" fontId="0" fillId="17" borderId="58" xfId="0" applyNumberFormat="1" applyFill="1" applyBorder="1" applyAlignment="1">
      <alignment horizontal="left" vertical="top"/>
    </xf>
    <xf numFmtId="3" fontId="0" fillId="17" borderId="59" xfId="0" applyNumberFormat="1" applyFill="1" applyBorder="1"/>
    <xf numFmtId="3" fontId="5" fillId="17" borderId="54" xfId="0" applyNumberFormat="1" applyFont="1" applyFill="1" applyBorder="1"/>
    <xf numFmtId="0" fontId="47" fillId="17" borderId="5" xfId="0" applyFont="1" applyFill="1" applyBorder="1"/>
    <xf numFmtId="0" fontId="5" fillId="17" borderId="60" xfId="0" applyFont="1" applyFill="1" applyBorder="1" applyAlignment="1">
      <alignment horizontal="center" vertical="center" wrapText="1"/>
    </xf>
    <xf numFmtId="3" fontId="8" fillId="17" borderId="61" xfId="0" applyNumberFormat="1" applyFont="1" applyFill="1" applyBorder="1"/>
    <xf numFmtId="3" fontId="5" fillId="17" borderId="62" xfId="0" applyNumberFormat="1" applyFont="1" applyFill="1" applyBorder="1"/>
    <xf numFmtId="3" fontId="0" fillId="17" borderId="63" xfId="0" applyNumberFormat="1" applyFill="1" applyBorder="1"/>
    <xf numFmtId="3" fontId="5" fillId="17" borderId="52" xfId="0" applyNumberFormat="1" applyFont="1" applyFill="1" applyBorder="1"/>
    <xf numFmtId="0" fontId="48" fillId="0" borderId="5" xfId="0" applyFont="1" applyBorder="1"/>
    <xf numFmtId="166" fontId="11" fillId="0" borderId="0" xfId="0" applyNumberFormat="1" applyFont="1"/>
    <xf numFmtId="168" fontId="11" fillId="0" borderId="0" xfId="3" applyNumberFormat="1" applyFont="1"/>
    <xf numFmtId="168" fontId="10" fillId="0" borderId="1" xfId="3" applyNumberFormat="1" applyFont="1" applyBorder="1"/>
    <xf numFmtId="168" fontId="11" fillId="0" borderId="1" xfId="3" applyNumberFormat="1" applyFont="1" applyBorder="1"/>
    <xf numFmtId="0" fontId="19" fillId="0" borderId="8" xfId="1" applyFont="1" applyBorder="1" applyAlignment="1">
      <alignment horizontal="left" vertical="top" indent="6"/>
    </xf>
    <xf numFmtId="0" fontId="19" fillId="0" borderId="0" xfId="1" applyFont="1"/>
    <xf numFmtId="0" fontId="19" fillId="0" borderId="9" xfId="1" applyFont="1" applyBorder="1"/>
    <xf numFmtId="0" fontId="18" fillId="0" borderId="8" xfId="1" applyFont="1" applyBorder="1"/>
    <xf numFmtId="0" fontId="18" fillId="0" borderId="0" xfId="1" applyFont="1"/>
    <xf numFmtId="0" fontId="18" fillId="0" borderId="9" xfId="1" applyFont="1" applyBorder="1" applyAlignment="1">
      <alignment horizontal="right"/>
    </xf>
    <xf numFmtId="0" fontId="19" fillId="0" borderId="8" xfId="1" applyFont="1" applyBorder="1" applyAlignment="1">
      <alignment horizontal="left" vertical="top" indent="2"/>
    </xf>
    <xf numFmtId="0" fontId="19" fillId="0" borderId="0" xfId="1" applyFont="1" applyAlignment="1">
      <alignment horizontal="left" vertical="top"/>
    </xf>
    <xf numFmtId="168" fontId="0" fillId="0" borderId="1" xfId="3" applyNumberFormat="1" applyFont="1" applyFill="1" applyBorder="1"/>
    <xf numFmtId="168" fontId="11" fillId="0" borderId="0" xfId="3" applyNumberFormat="1" applyFont="1" applyFill="1"/>
    <xf numFmtId="168" fontId="0" fillId="0" borderId="0" xfId="3" applyNumberFormat="1" applyFont="1" applyFill="1"/>
    <xf numFmtId="168" fontId="0" fillId="0" borderId="0" xfId="3" applyNumberFormat="1" applyFont="1" applyAlignment="1">
      <alignment vertical="top"/>
    </xf>
    <xf numFmtId="168" fontId="0" fillId="0" borderId="0" xfId="3" quotePrefix="1" applyNumberFormat="1" applyFont="1"/>
    <xf numFmtId="168" fontId="13" fillId="0" borderId="1" xfId="3" applyNumberFormat="1" applyFont="1" applyBorder="1"/>
    <xf numFmtId="168" fontId="0" fillId="7" borderId="0" xfId="3" applyNumberFormat="1" applyFont="1" applyFill="1"/>
    <xf numFmtId="168" fontId="13" fillId="7" borderId="0" xfId="3" applyNumberFormat="1" applyFont="1" applyFill="1"/>
    <xf numFmtId="168" fontId="31" fillId="0" borderId="0" xfId="3" applyNumberFormat="1" applyFont="1" applyFill="1"/>
    <xf numFmtId="168" fontId="13" fillId="0" borderId="0" xfId="3" applyNumberFormat="1" applyFont="1" applyFill="1"/>
    <xf numFmtId="168" fontId="0" fillId="0" borderId="0" xfId="3" applyNumberFormat="1" applyFont="1" applyFill="1" applyAlignment="1">
      <alignment wrapText="1"/>
    </xf>
    <xf numFmtId="168" fontId="20" fillId="0" borderId="0" xfId="3" applyNumberFormat="1" applyFont="1" applyFill="1"/>
    <xf numFmtId="168" fontId="0" fillId="15" borderId="0" xfId="3" applyNumberFormat="1" applyFont="1" applyFill="1"/>
    <xf numFmtId="168" fontId="0" fillId="16" borderId="0" xfId="3" applyNumberFormat="1" applyFont="1" applyFill="1"/>
    <xf numFmtId="168" fontId="31" fillId="16" borderId="0" xfId="3" applyNumberFormat="1" applyFont="1" applyFill="1"/>
    <xf numFmtId="168" fontId="31" fillId="0" borderId="0" xfId="3" applyNumberFormat="1" applyFont="1"/>
    <xf numFmtId="168" fontId="11" fillId="16" borderId="0" xfId="3" applyNumberFormat="1" applyFont="1" applyFill="1"/>
    <xf numFmtId="168" fontId="15" fillId="7" borderId="0" xfId="3" applyNumberFormat="1" applyFont="1" applyFill="1"/>
    <xf numFmtId="168" fontId="11" fillId="7" borderId="0" xfId="3" applyNumberFormat="1" applyFont="1" applyFill="1"/>
    <xf numFmtId="168" fontId="0" fillId="7" borderId="0" xfId="3" applyNumberFormat="1" applyFont="1" applyFill="1" applyAlignment="1">
      <alignment vertical="center"/>
    </xf>
    <xf numFmtId="168" fontId="13" fillId="16" borderId="0" xfId="3" applyNumberFormat="1" applyFont="1" applyFill="1"/>
    <xf numFmtId="168" fontId="0" fillId="12" borderId="0" xfId="3" applyNumberFormat="1" applyFont="1" applyFill="1"/>
    <xf numFmtId="168" fontId="0" fillId="10" borderId="0" xfId="3" applyNumberFormat="1" applyFont="1" applyFill="1"/>
    <xf numFmtId="168" fontId="0" fillId="11" borderId="0" xfId="3" applyNumberFormat="1" applyFont="1" applyFill="1"/>
    <xf numFmtId="168" fontId="11" fillId="13" borderId="0" xfId="3" applyNumberFormat="1" applyFont="1" applyFill="1"/>
    <xf numFmtId="168" fontId="0" fillId="13" borderId="0" xfId="3" applyNumberFormat="1" applyFont="1" applyFill="1"/>
    <xf numFmtId="168" fontId="0" fillId="14" borderId="0" xfId="3" applyNumberFormat="1" applyFont="1" applyFill="1"/>
    <xf numFmtId="168" fontId="0" fillId="0" borderId="0" xfId="3" applyNumberFormat="1" applyFont="1" applyAlignment="1">
      <alignment wrapText="1"/>
    </xf>
    <xf numFmtId="168" fontId="20" fillId="0" borderId="0" xfId="3" applyNumberFormat="1" applyFont="1"/>
    <xf numFmtId="0" fontId="4" fillId="0" borderId="0" xfId="1"/>
    <xf numFmtId="0" fontId="5" fillId="17" borderId="0" xfId="1" applyFont="1" applyFill="1"/>
    <xf numFmtId="0" fontId="4" fillId="17" borderId="0" xfId="1" applyFill="1"/>
    <xf numFmtId="0" fontId="4" fillId="17" borderId="1" xfId="1" applyFill="1" applyBorder="1"/>
    <xf numFmtId="0" fontId="5" fillId="17" borderId="1" xfId="1" applyFont="1" applyFill="1" applyBorder="1" applyAlignment="1">
      <alignment horizontal="center"/>
    </xf>
    <xf numFmtId="0" fontId="4" fillId="17" borderId="0" xfId="1" applyFill="1" applyAlignment="1">
      <alignment horizontal="center"/>
    </xf>
    <xf numFmtId="0" fontId="4" fillId="17" borderId="1" xfId="1" applyFill="1" applyBorder="1" applyAlignment="1">
      <alignment horizontal="center"/>
    </xf>
    <xf numFmtId="0" fontId="48" fillId="17" borderId="2" xfId="1" applyFont="1" applyFill="1" applyBorder="1"/>
    <xf numFmtId="0" fontId="48" fillId="22" borderId="2" xfId="1" applyFont="1" applyFill="1" applyBorder="1" applyAlignment="1">
      <alignment horizontal="center"/>
    </xf>
    <xf numFmtId="0" fontId="48" fillId="22" borderId="3" xfId="1" applyFont="1" applyFill="1" applyBorder="1" applyAlignment="1">
      <alignment horizontal="center"/>
    </xf>
    <xf numFmtId="0" fontId="48" fillId="20" borderId="3" xfId="1" applyFont="1" applyFill="1" applyBorder="1" applyAlignment="1">
      <alignment horizontal="center"/>
    </xf>
    <xf numFmtId="0" fontId="48" fillId="20" borderId="2" xfId="1" applyFont="1" applyFill="1" applyBorder="1" applyAlignment="1">
      <alignment horizontal="center"/>
    </xf>
    <xf numFmtId="0" fontId="48" fillId="23" borderId="3" xfId="1" applyFont="1" applyFill="1" applyBorder="1" applyAlignment="1">
      <alignment horizontal="center"/>
    </xf>
    <xf numFmtId="0" fontId="48" fillId="0" borderId="5" xfId="1" applyFont="1" applyBorder="1"/>
    <xf numFmtId="0" fontId="48" fillId="0" borderId="2" xfId="1" applyFont="1" applyBorder="1" applyAlignment="1">
      <alignment horizontal="center"/>
    </xf>
    <xf numFmtId="0" fontId="48" fillId="0" borderId="3" xfId="1" applyFont="1" applyBorder="1" applyAlignment="1">
      <alignment horizontal="center"/>
    </xf>
    <xf numFmtId="0" fontId="13" fillId="0" borderId="0" xfId="1" applyFont="1"/>
    <xf numFmtId="0" fontId="47" fillId="17" borderId="5" xfId="1" applyFont="1" applyFill="1" applyBorder="1"/>
    <xf numFmtId="0" fontId="47" fillId="17" borderId="2" xfId="1" applyFont="1" applyFill="1" applyBorder="1"/>
    <xf numFmtId="0" fontId="4" fillId="0" borderId="0" xfId="1" applyAlignment="1">
      <alignment horizontal="left"/>
    </xf>
    <xf numFmtId="0" fontId="40" fillId="17" borderId="1" xfId="1" applyFont="1" applyFill="1" applyBorder="1"/>
    <xf numFmtId="0" fontId="5" fillId="17" borderId="45" xfId="1" applyFont="1" applyFill="1" applyBorder="1" applyAlignment="1">
      <alignment horizontal="center" vertical="center" wrapText="1"/>
    </xf>
    <xf numFmtId="0" fontId="5" fillId="17" borderId="9" xfId="1" applyFont="1" applyFill="1" applyBorder="1" applyAlignment="1">
      <alignment horizontal="center" vertical="center" wrapText="1"/>
    </xf>
    <xf numFmtId="0" fontId="5" fillId="17" borderId="15" xfId="1" applyFont="1" applyFill="1" applyBorder="1" applyAlignment="1">
      <alignment horizontal="center" vertical="center" wrapText="1"/>
    </xf>
    <xf numFmtId="0" fontId="8" fillId="17" borderId="50" xfId="1" applyFont="1" applyFill="1" applyBorder="1"/>
    <xf numFmtId="0" fontId="9" fillId="17" borderId="53" xfId="1" applyFont="1" applyFill="1" applyBorder="1"/>
    <xf numFmtId="3" fontId="8" fillId="17" borderId="52" xfId="1" applyNumberFormat="1" applyFont="1" applyFill="1" applyBorder="1"/>
    <xf numFmtId="3" fontId="8" fillId="17" borderId="65" xfId="1" applyNumberFormat="1" applyFont="1" applyFill="1" applyBorder="1"/>
    <xf numFmtId="3" fontId="8" fillId="17" borderId="55" xfId="1" applyNumberFormat="1" applyFont="1" applyFill="1" applyBorder="1"/>
    <xf numFmtId="3" fontId="8" fillId="17" borderId="66" xfId="1" applyNumberFormat="1" applyFont="1" applyFill="1" applyBorder="1"/>
    <xf numFmtId="0" fontId="5" fillId="17" borderId="40" xfId="1" applyFont="1" applyFill="1" applyBorder="1"/>
    <xf numFmtId="3" fontId="5" fillId="17" borderId="67" xfId="1" applyNumberFormat="1" applyFont="1" applyFill="1" applyBorder="1"/>
    <xf numFmtId="3" fontId="5" fillId="17" borderId="68" xfId="1" applyNumberFormat="1" applyFont="1" applyFill="1" applyBorder="1"/>
    <xf numFmtId="3" fontId="5" fillId="17" borderId="69" xfId="1" applyNumberFormat="1" applyFont="1" applyFill="1" applyBorder="1"/>
    <xf numFmtId="3" fontId="5" fillId="17" borderId="70" xfId="1" applyNumberFormat="1" applyFont="1" applyFill="1" applyBorder="1"/>
    <xf numFmtId="0" fontId="13" fillId="17" borderId="0" xfId="1" applyFont="1" applyFill="1"/>
    <xf numFmtId="0" fontId="4" fillId="17" borderId="40" xfId="1" applyFill="1" applyBorder="1" applyAlignment="1">
      <alignment horizontal="left" indent="2"/>
    </xf>
    <xf numFmtId="3" fontId="4" fillId="17" borderId="63" xfId="1" applyNumberFormat="1" applyFill="1" applyBorder="1"/>
    <xf numFmtId="3" fontId="4" fillId="17" borderId="71" xfId="1" applyNumberFormat="1" applyFill="1" applyBorder="1"/>
    <xf numFmtId="3" fontId="4" fillId="17" borderId="17" xfId="1" applyNumberFormat="1" applyFill="1" applyBorder="1"/>
    <xf numFmtId="3" fontId="4" fillId="17" borderId="72" xfId="1" applyNumberFormat="1" applyFill="1" applyBorder="1"/>
    <xf numFmtId="0" fontId="14" fillId="17" borderId="0" xfId="1" applyFont="1" applyFill="1" applyAlignment="1">
      <alignment horizontal="left"/>
    </xf>
    <xf numFmtId="3" fontId="49" fillId="6" borderId="17" xfId="8" applyNumberFormat="1" applyBorder="1"/>
    <xf numFmtId="3" fontId="40" fillId="24" borderId="17" xfId="1" applyNumberFormat="1" applyFont="1" applyFill="1" applyBorder="1"/>
    <xf numFmtId="3" fontId="4" fillId="24" borderId="17" xfId="1" applyNumberFormat="1" applyFill="1" applyBorder="1"/>
    <xf numFmtId="3" fontId="4" fillId="17" borderId="64" xfId="1" applyNumberFormat="1" applyFill="1" applyBorder="1"/>
    <xf numFmtId="3" fontId="4" fillId="17" borderId="73" xfId="1" applyNumberFormat="1" applyFill="1" applyBorder="1"/>
    <xf numFmtId="3" fontId="4" fillId="2" borderId="0" xfId="1" applyNumberFormat="1" applyFill="1"/>
    <xf numFmtId="3" fontId="4" fillId="2" borderId="56" xfId="1" applyNumberFormat="1" applyFill="1" applyBorder="1"/>
    <xf numFmtId="3" fontId="4" fillId="17" borderId="56" xfId="1" applyNumberFormat="1" applyFill="1" applyBorder="1"/>
    <xf numFmtId="3" fontId="4" fillId="17" borderId="74" xfId="1" applyNumberFormat="1" applyFill="1" applyBorder="1"/>
    <xf numFmtId="0" fontId="4" fillId="17" borderId="42" xfId="1" applyFill="1" applyBorder="1" applyAlignment="1">
      <alignment horizontal="left" indent="2"/>
    </xf>
    <xf numFmtId="0" fontId="4" fillId="17" borderId="43" xfId="1" applyFill="1" applyBorder="1"/>
    <xf numFmtId="3" fontId="4" fillId="17" borderId="75" xfId="1" applyNumberFormat="1" applyFill="1" applyBorder="1"/>
    <xf numFmtId="3" fontId="4" fillId="17" borderId="76" xfId="1" applyNumberFormat="1" applyFill="1" applyBorder="1"/>
    <xf numFmtId="0" fontId="4" fillId="0" borderId="43" xfId="1" applyBorder="1"/>
    <xf numFmtId="3" fontId="14" fillId="17" borderId="77" xfId="1" applyNumberFormat="1" applyFont="1" applyFill="1" applyBorder="1"/>
    <xf numFmtId="3" fontId="4" fillId="17" borderId="77" xfId="1" applyNumberFormat="1" applyFill="1" applyBorder="1"/>
    <xf numFmtId="3" fontId="4" fillId="17" borderId="78" xfId="1" applyNumberFormat="1" applyFill="1" applyBorder="1"/>
    <xf numFmtId="0" fontId="5" fillId="17" borderId="30" xfId="1" applyFont="1" applyFill="1" applyBorder="1"/>
    <xf numFmtId="0" fontId="4" fillId="17" borderId="48" xfId="1" applyFill="1" applyBorder="1"/>
    <xf numFmtId="3" fontId="5" fillId="17" borderId="60" xfId="1" applyNumberFormat="1" applyFont="1" applyFill="1" applyBorder="1"/>
    <xf numFmtId="3" fontId="5" fillId="17" borderId="29" xfId="1" applyNumberFormat="1" applyFont="1" applyFill="1" applyBorder="1"/>
    <xf numFmtId="3" fontId="5" fillId="17" borderId="27" xfId="1" applyNumberFormat="1" applyFont="1" applyFill="1" applyBorder="1"/>
    <xf numFmtId="3" fontId="5" fillId="17" borderId="32" xfId="1" applyNumberFormat="1" applyFont="1" applyFill="1" applyBorder="1"/>
    <xf numFmtId="3" fontId="4" fillId="17" borderId="67" xfId="1" applyNumberFormat="1" applyFill="1" applyBorder="1"/>
    <xf numFmtId="3" fontId="4" fillId="17" borderId="79" xfId="1" applyNumberFormat="1" applyFill="1" applyBorder="1"/>
    <xf numFmtId="3" fontId="4" fillId="17" borderId="69" xfId="1" applyNumberFormat="1" applyFill="1" applyBorder="1"/>
    <xf numFmtId="3" fontId="4" fillId="17" borderId="70" xfId="1" applyNumberFormat="1" applyFill="1" applyBorder="1"/>
    <xf numFmtId="3" fontId="4" fillId="17" borderId="58" xfId="1" applyNumberFormat="1" applyFill="1" applyBorder="1"/>
    <xf numFmtId="0" fontId="14" fillId="17" borderId="0" xfId="1" quotePrefix="1" applyFont="1" applyFill="1" applyAlignment="1">
      <alignment horizontal="left"/>
    </xf>
    <xf numFmtId="3" fontId="14" fillId="17" borderId="58" xfId="1" applyNumberFormat="1" applyFont="1" applyFill="1" applyBorder="1"/>
    <xf numFmtId="3" fontId="14" fillId="17" borderId="17" xfId="1" applyNumberFormat="1" applyFont="1" applyFill="1" applyBorder="1"/>
    <xf numFmtId="0" fontId="14" fillId="0" borderId="0" xfId="1" applyFont="1"/>
    <xf numFmtId="0" fontId="14" fillId="17" borderId="43" xfId="1" applyFont="1" applyFill="1" applyBorder="1"/>
    <xf numFmtId="3" fontId="4" fillId="17" borderId="80" xfId="1" applyNumberFormat="1" applyFill="1" applyBorder="1"/>
    <xf numFmtId="3" fontId="14" fillId="17" borderId="80" xfId="1" applyNumberFormat="1" applyFont="1" applyFill="1" applyBorder="1"/>
    <xf numFmtId="0" fontId="5" fillId="17" borderId="50" xfId="1" applyFont="1" applyFill="1" applyBorder="1"/>
    <xf numFmtId="0" fontId="4" fillId="17" borderId="53" xfId="1" applyFill="1" applyBorder="1"/>
    <xf numFmtId="3" fontId="5" fillId="17" borderId="52" xfId="1" applyNumberFormat="1" applyFont="1" applyFill="1" applyBorder="1"/>
    <xf numFmtId="3" fontId="5" fillId="17" borderId="54" xfId="1" applyNumberFormat="1" applyFont="1" applyFill="1" applyBorder="1"/>
    <xf numFmtId="3" fontId="5" fillId="17" borderId="55" xfId="1" applyNumberFormat="1" applyFont="1" applyFill="1" applyBorder="1"/>
    <xf numFmtId="3" fontId="4" fillId="0" borderId="0" xfId="1" applyNumberFormat="1"/>
    <xf numFmtId="9" fontId="4" fillId="0" borderId="0" xfId="4" applyFont="1"/>
    <xf numFmtId="10" fontId="0" fillId="0" borderId="0" xfId="4" applyNumberFormat="1" applyFont="1"/>
    <xf numFmtId="0" fontId="12" fillId="2" borderId="8" xfId="1" applyFont="1" applyFill="1" applyBorder="1" applyAlignment="1">
      <alignment horizontal="left" vertical="top" indent="2"/>
    </xf>
    <xf numFmtId="0" fontId="12" fillId="2" borderId="0" xfId="1" applyFont="1" applyFill="1" applyAlignment="1">
      <alignment horizontal="left" vertical="top"/>
    </xf>
    <xf numFmtId="0" fontId="12" fillId="2" borderId="9" xfId="1" applyFont="1" applyFill="1" applyBorder="1"/>
    <xf numFmtId="168" fontId="13" fillId="0" borderId="0" xfId="0" applyNumberFormat="1" applyFont="1"/>
    <xf numFmtId="0" fontId="47" fillId="4" borderId="8" xfId="1" applyFont="1" applyFill="1" applyBorder="1"/>
    <xf numFmtId="0" fontId="47" fillId="4" borderId="0" xfId="1" applyFont="1" applyFill="1"/>
    <xf numFmtId="0" fontId="47" fillId="4" borderId="9" xfId="1" applyFont="1" applyFill="1" applyBorder="1" applyAlignment="1">
      <alignment horizontal="right"/>
    </xf>
    <xf numFmtId="0" fontId="15" fillId="0" borderId="0" xfId="0" applyFont="1" applyAlignment="1">
      <alignment horizontal="left"/>
    </xf>
    <xf numFmtId="0" fontId="12" fillId="7" borderId="0" xfId="1" applyFont="1" applyFill="1" applyAlignment="1">
      <alignment horizontal="left" vertical="top"/>
    </xf>
    <xf numFmtId="0" fontId="12" fillId="7" borderId="9" xfId="1" applyFont="1" applyFill="1" applyBorder="1"/>
    <xf numFmtId="0" fontId="13" fillId="17" borderId="0" xfId="0" applyFont="1" applyFill="1" applyAlignment="1">
      <alignment horizontal="left" vertical="top" wrapText="1"/>
    </xf>
    <xf numFmtId="0" fontId="13" fillId="17" borderId="8" xfId="0" applyFont="1" applyFill="1" applyBorder="1" applyAlignment="1">
      <alignment horizontal="left" vertical="top" indent="2"/>
    </xf>
    <xf numFmtId="3" fontId="13" fillId="17" borderId="63" xfId="0" applyNumberFormat="1" applyFont="1" applyFill="1" applyBorder="1"/>
    <xf numFmtId="3" fontId="13" fillId="17" borderId="58" xfId="0" applyNumberFormat="1" applyFont="1" applyFill="1" applyBorder="1" applyAlignment="1">
      <alignment horizontal="left" vertical="top"/>
    </xf>
    <xf numFmtId="3" fontId="13" fillId="17" borderId="17" xfId="0" applyNumberFormat="1" applyFont="1" applyFill="1" applyBorder="1"/>
    <xf numFmtId="3" fontId="13" fillId="17" borderId="0" xfId="0" applyNumberFormat="1" applyFont="1" applyFill="1" applyAlignment="1">
      <alignment horizontal="left" vertical="top"/>
    </xf>
    <xf numFmtId="1" fontId="13" fillId="0" borderId="1" xfId="0" applyNumberFormat="1" applyFont="1" applyBorder="1"/>
    <xf numFmtId="0" fontId="51" fillId="0" borderId="0" xfId="0" applyFont="1"/>
    <xf numFmtId="0" fontId="0" fillId="0" borderId="0" xfId="0" quotePrefix="1" applyAlignment="1">
      <alignment vertical="top"/>
    </xf>
    <xf numFmtId="0" fontId="4" fillId="4" borderId="50" xfId="1" applyFill="1" applyBorder="1" applyAlignment="1">
      <alignment horizontal="left" indent="2"/>
    </xf>
    <xf numFmtId="0" fontId="4" fillId="4" borderId="53" xfId="1" applyFill="1" applyBorder="1"/>
    <xf numFmtId="0" fontId="4" fillId="4" borderId="51" xfId="1" applyFill="1" applyBorder="1"/>
    <xf numFmtId="168" fontId="11" fillId="0" borderId="0" xfId="0" applyNumberFormat="1" applyFont="1"/>
    <xf numFmtId="167" fontId="50" fillId="2" borderId="1" xfId="3" applyNumberFormat="1" applyFont="1" applyFill="1" applyBorder="1"/>
    <xf numFmtId="168" fontId="0" fillId="2" borderId="27" xfId="3" applyNumberFormat="1" applyFont="1" applyFill="1" applyBorder="1"/>
    <xf numFmtId="168" fontId="0" fillId="2" borderId="32" xfId="3" applyNumberFormat="1" applyFont="1" applyFill="1" applyBorder="1"/>
    <xf numFmtId="168" fontId="0" fillId="2" borderId="1" xfId="3" applyNumberFormat="1" applyFont="1" applyFill="1" applyBorder="1"/>
    <xf numFmtId="168" fontId="0" fillId="2" borderId="34" xfId="3" applyNumberFormat="1" applyFont="1" applyFill="1" applyBorder="1"/>
    <xf numFmtId="168" fontId="0" fillId="2" borderId="26" xfId="3" applyNumberFormat="1" applyFont="1" applyFill="1" applyBorder="1"/>
    <xf numFmtId="168" fontId="0" fillId="2" borderId="36" xfId="3" applyNumberFormat="1" applyFont="1" applyFill="1" applyBorder="1"/>
    <xf numFmtId="168" fontId="0" fillId="20" borderId="27" xfId="3" applyNumberFormat="1" applyFont="1" applyFill="1" applyBorder="1"/>
    <xf numFmtId="168" fontId="0" fillId="20" borderId="32" xfId="3" applyNumberFormat="1" applyFont="1" applyFill="1" applyBorder="1"/>
    <xf numFmtId="168" fontId="0" fillId="20" borderId="1" xfId="3" applyNumberFormat="1" applyFont="1" applyFill="1" applyBorder="1"/>
    <xf numFmtId="168" fontId="0" fillId="20" borderId="34" xfId="3" applyNumberFormat="1" applyFont="1" applyFill="1" applyBorder="1"/>
    <xf numFmtId="168" fontId="0" fillId="20" borderId="26" xfId="3" applyNumberFormat="1" applyFont="1" applyFill="1" applyBorder="1"/>
    <xf numFmtId="168" fontId="0" fillId="20" borderId="36" xfId="3" applyNumberFormat="1" applyFont="1" applyFill="1" applyBorder="1"/>
    <xf numFmtId="168" fontId="4" fillId="4" borderId="0" xfId="3" applyNumberFormat="1" applyFont="1" applyFill="1" applyBorder="1" applyAlignment="1">
      <alignment horizontal="left" indent="2"/>
    </xf>
    <xf numFmtId="168" fontId="0" fillId="0" borderId="0" xfId="3" applyNumberFormat="1" applyFont="1" applyAlignment="1">
      <alignment horizontal="left"/>
    </xf>
    <xf numFmtId="4" fontId="0" fillId="0" borderId="0" xfId="0" applyNumberFormat="1"/>
    <xf numFmtId="166" fontId="0" fillId="7" borderId="0" xfId="5" applyNumberFormat="1" applyFont="1" applyFill="1"/>
    <xf numFmtId="43" fontId="0" fillId="7" borderId="0" xfId="0" applyNumberFormat="1" applyFill="1"/>
    <xf numFmtId="0" fontId="23" fillId="25" borderId="0" xfId="0" applyFont="1" applyFill="1"/>
    <xf numFmtId="0" fontId="0" fillId="0" borderId="0" xfId="0" applyAlignment="1">
      <alignment horizontal="center"/>
    </xf>
    <xf numFmtId="0" fontId="13" fillId="0" borderId="0" xfId="0" applyFont="1" applyAlignment="1">
      <alignment horizontal="center"/>
    </xf>
    <xf numFmtId="0" fontId="11" fillId="0" borderId="0" xfId="0" applyFont="1" applyAlignment="1">
      <alignment horizontal="center"/>
    </xf>
    <xf numFmtId="0" fontId="13" fillId="0" borderId="0" xfId="0" applyFont="1" applyAlignment="1">
      <alignment horizontal="right"/>
    </xf>
    <xf numFmtId="16" fontId="13" fillId="0" borderId="0" xfId="0" applyNumberFormat="1" applyFont="1" applyAlignment="1">
      <alignment horizontal="center"/>
    </xf>
    <xf numFmtId="0" fontId="13" fillId="0" borderId="0" xfId="0" applyFont="1" applyAlignment="1">
      <alignment wrapText="1"/>
    </xf>
    <xf numFmtId="0" fontId="0" fillId="0" borderId="37" xfId="0" applyBorder="1"/>
    <xf numFmtId="0" fontId="0" fillId="0" borderId="38" xfId="0" applyBorder="1"/>
    <xf numFmtId="0" fontId="0" fillId="0" borderId="40" xfId="0" applyBorder="1"/>
    <xf numFmtId="1" fontId="13" fillId="7" borderId="0" xfId="0" applyNumberFormat="1" applyFont="1" applyFill="1"/>
    <xf numFmtId="0" fontId="0" fillId="0" borderId="42" xfId="0" applyBorder="1"/>
    <xf numFmtId="0" fontId="0" fillId="3" borderId="38" xfId="0" applyFill="1" applyBorder="1"/>
    <xf numFmtId="0" fontId="0" fillId="3" borderId="39" xfId="0" applyFill="1" applyBorder="1"/>
    <xf numFmtId="1" fontId="13" fillId="0" borderId="0" xfId="0" applyNumberFormat="1" applyFont="1"/>
    <xf numFmtId="0" fontId="0" fillId="7" borderId="37" xfId="0" applyFill="1" applyBorder="1"/>
    <xf numFmtId="0" fontId="0" fillId="7" borderId="38" xfId="0" applyFill="1" applyBorder="1"/>
    <xf numFmtId="0" fontId="0" fillId="7" borderId="39" xfId="0" applyFill="1" applyBorder="1"/>
    <xf numFmtId="0" fontId="0" fillId="7" borderId="40" xfId="0" applyFill="1" applyBorder="1"/>
    <xf numFmtId="0" fontId="0" fillId="7" borderId="41" xfId="0" applyFill="1" applyBorder="1"/>
    <xf numFmtId="0" fontId="0" fillId="7" borderId="42" xfId="0" applyFill="1" applyBorder="1"/>
    <xf numFmtId="0" fontId="0" fillId="7" borderId="43" xfId="0" applyFill="1" applyBorder="1"/>
    <xf numFmtId="0" fontId="0" fillId="7" borderId="44" xfId="0" applyFill="1" applyBorder="1"/>
    <xf numFmtId="0" fontId="15" fillId="0" borderId="0" xfId="0" applyFont="1" applyAlignment="1">
      <alignment wrapText="1"/>
    </xf>
    <xf numFmtId="1" fontId="13" fillId="16" borderId="0" xfId="0" applyNumberFormat="1" applyFont="1" applyFill="1"/>
    <xf numFmtId="0" fontId="11" fillId="12" borderId="0" xfId="0" applyFont="1" applyFill="1"/>
    <xf numFmtId="0" fontId="0" fillId="12" borderId="37" xfId="0" applyFill="1" applyBorder="1"/>
    <xf numFmtId="0" fontId="0" fillId="12" borderId="38" xfId="0" applyFill="1" applyBorder="1"/>
    <xf numFmtId="0" fontId="0" fillId="12" borderId="39" xfId="0" applyFill="1" applyBorder="1"/>
    <xf numFmtId="0" fontId="0" fillId="12" borderId="40" xfId="0" applyFill="1" applyBorder="1"/>
    <xf numFmtId="0" fontId="0" fillId="12" borderId="41" xfId="0" applyFill="1" applyBorder="1"/>
    <xf numFmtId="0" fontId="52" fillId="13" borderId="0" xfId="0" applyFont="1" applyFill="1"/>
    <xf numFmtId="0" fontId="53" fillId="13" borderId="0" xfId="0" applyFont="1" applyFill="1"/>
    <xf numFmtId="0" fontId="53" fillId="13" borderId="0" xfId="0" applyFont="1" applyFill="1" applyAlignment="1">
      <alignment horizontal="center"/>
    </xf>
    <xf numFmtId="1" fontId="53" fillId="13" borderId="0" xfId="0" applyNumberFormat="1" applyFont="1" applyFill="1"/>
    <xf numFmtId="173" fontId="52" fillId="13" borderId="0" xfId="0" applyNumberFormat="1" applyFont="1" applyFill="1" applyAlignment="1">
      <alignment horizontal="right"/>
    </xf>
    <xf numFmtId="0" fontId="0" fillId="12" borderId="42" xfId="0" applyFill="1" applyBorder="1"/>
    <xf numFmtId="0" fontId="0" fillId="12" borderId="43" xfId="0" applyFill="1" applyBorder="1"/>
    <xf numFmtId="0" fontId="0" fillId="12" borderId="44" xfId="0" applyFill="1" applyBorder="1"/>
    <xf numFmtId="9" fontId="0" fillId="0" borderId="0" xfId="0" applyNumberFormat="1"/>
    <xf numFmtId="0" fontId="10" fillId="11" borderId="0" xfId="0" applyFont="1" applyFill="1"/>
    <xf numFmtId="0" fontId="53" fillId="0" borderId="0" xfId="0" applyFont="1"/>
    <xf numFmtId="15" fontId="11" fillId="13" borderId="0" xfId="0" applyNumberFormat="1" applyFont="1" applyFill="1"/>
    <xf numFmtId="15" fontId="0" fillId="14" borderId="0" xfId="0" applyNumberFormat="1" applyFill="1"/>
    <xf numFmtId="9" fontId="0" fillId="14" borderId="0" xfId="0" applyNumberFormat="1" applyFill="1"/>
    <xf numFmtId="0" fontId="0" fillId="24" borderId="0" xfId="0" applyFill="1"/>
    <xf numFmtId="0" fontId="19" fillId="4" borderId="42" xfId="1" applyFont="1" applyFill="1" applyBorder="1" applyAlignment="1">
      <alignment horizontal="left" indent="2"/>
    </xf>
    <xf numFmtId="0" fontId="19" fillId="4" borderId="40" xfId="1" applyFont="1" applyFill="1" applyBorder="1" applyAlignment="1">
      <alignment horizontal="left" indent="2"/>
    </xf>
    <xf numFmtId="0" fontId="54" fillId="0" borderId="0" xfId="0" applyFont="1"/>
    <xf numFmtId="14" fontId="0" fillId="0" borderId="0" xfId="0" applyNumberFormat="1" applyAlignment="1">
      <alignment horizontal="left"/>
    </xf>
    <xf numFmtId="0" fontId="55" fillId="0" borderId="0" xfId="0" applyFont="1"/>
    <xf numFmtId="165" fontId="55" fillId="0" borderId="0" xfId="0" applyNumberFormat="1" applyFont="1"/>
    <xf numFmtId="1" fontId="0" fillId="0" borderId="0" xfId="0" applyNumberFormat="1"/>
    <xf numFmtId="0" fontId="0" fillId="2" borderId="0" xfId="0" applyFill="1" applyAlignment="1">
      <alignment horizontal="center"/>
    </xf>
    <xf numFmtId="0" fontId="0" fillId="26" borderId="0" xfId="0" applyFill="1"/>
    <xf numFmtId="0" fontId="2" fillId="4" borderId="0" xfId="0" applyFont="1" applyFill="1"/>
    <xf numFmtId="0" fontId="2" fillId="2" borderId="4" xfId="0" applyFont="1" applyFill="1" applyBorder="1"/>
    <xf numFmtId="0" fontId="2" fillId="2" borderId="1" xfId="0" applyFont="1" applyFill="1" applyBorder="1" applyAlignment="1">
      <alignment wrapText="1"/>
    </xf>
    <xf numFmtId="167" fontId="2" fillId="2" borderId="1" xfId="3" applyNumberFormat="1" applyFont="1" applyFill="1" applyBorder="1"/>
    <xf numFmtId="168" fontId="2" fillId="2" borderId="1" xfId="3" applyNumberFormat="1" applyFont="1" applyFill="1" applyBorder="1"/>
    <xf numFmtId="43" fontId="2" fillId="2" borderId="1" xfId="3" applyFont="1" applyFill="1" applyBorder="1"/>
    <xf numFmtId="0" fontId="2" fillId="2" borderId="7" xfId="0" applyFont="1" applyFill="1" applyBorder="1"/>
    <xf numFmtId="0" fontId="2" fillId="2" borderId="13" xfId="0" applyFont="1" applyFill="1" applyBorder="1" applyAlignment="1">
      <alignment wrapText="1"/>
    </xf>
    <xf numFmtId="0" fontId="2" fillId="2" borderId="0" xfId="0" applyFont="1" applyFill="1" applyAlignment="1">
      <alignment wrapText="1"/>
    </xf>
    <xf numFmtId="0" fontId="2" fillId="0" borderId="0" xfId="0" applyFont="1"/>
    <xf numFmtId="0" fontId="56" fillId="0" borderId="0" xfId="0" applyFont="1"/>
    <xf numFmtId="174" fontId="0" fillId="0" borderId="0" xfId="0" applyNumberFormat="1"/>
    <xf numFmtId="0" fontId="23" fillId="0" borderId="0" xfId="0" applyFont="1"/>
    <xf numFmtId="3" fontId="1" fillId="0" borderId="0" xfId="6" applyNumberFormat="1" applyFont="1"/>
    <xf numFmtId="0" fontId="1" fillId="0" borderId="0" xfId="6" applyFont="1"/>
    <xf numFmtId="0" fontId="1" fillId="0" borderId="0" xfId="0" applyFont="1"/>
    <xf numFmtId="168" fontId="1" fillId="0" borderId="0" xfId="3" applyNumberFormat="1" applyFont="1"/>
    <xf numFmtId="0" fontId="52" fillId="13" borderId="0" xfId="0" applyFont="1" applyFill="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0" xfId="0" applyBorder="1" applyAlignment="1">
      <alignment horizontal="center"/>
    </xf>
    <xf numFmtId="0" fontId="7" fillId="17" borderId="5" xfId="1" applyFont="1" applyFill="1" applyBorder="1" applyAlignment="1">
      <alignment horizontal="center" vertical="center" wrapText="1"/>
    </xf>
    <xf numFmtId="0" fontId="7" fillId="17" borderId="6" xfId="1" applyFont="1" applyFill="1" applyBorder="1" applyAlignment="1">
      <alignment horizontal="center" vertical="center" wrapText="1"/>
    </xf>
    <xf numFmtId="0" fontId="12" fillId="17" borderId="0" xfId="0" applyFont="1" applyFill="1" applyAlignment="1">
      <alignment horizontal="left" vertical="top" wrapText="1"/>
    </xf>
    <xf numFmtId="0" fontId="19" fillId="17" borderId="0" xfId="0" applyFont="1" applyFill="1" applyAlignment="1">
      <alignment horizontal="left" vertical="top" wrapText="1"/>
    </xf>
    <xf numFmtId="0" fontId="7" fillId="17" borderId="2"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5" fillId="17" borderId="2" xfId="0" applyFont="1" applyFill="1" applyBorder="1" applyAlignment="1">
      <alignment horizontal="center"/>
    </xf>
    <xf numFmtId="0" fontId="5" fillId="17" borderId="3" xfId="0" applyFont="1" applyFill="1" applyBorder="1" applyAlignment="1">
      <alignment horizontal="center"/>
    </xf>
    <xf numFmtId="0" fontId="5" fillId="17" borderId="50" xfId="0" applyFont="1" applyFill="1" applyBorder="1" applyAlignment="1">
      <alignment horizontal="center"/>
    </xf>
    <xf numFmtId="0" fontId="5" fillId="17" borderId="51" xfId="0" applyFont="1" applyFill="1" applyBorder="1" applyAlignment="1">
      <alignment horizontal="center"/>
    </xf>
    <xf numFmtId="0" fontId="7" fillId="17" borderId="4" xfId="0" applyFont="1" applyFill="1" applyBorder="1" applyAlignment="1">
      <alignment horizontal="center" vertical="center" wrapText="1"/>
    </xf>
    <xf numFmtId="0" fontId="4" fillId="17" borderId="0" xfId="0" applyFont="1" applyFill="1" applyAlignment="1">
      <alignment horizontal="left" vertical="top" wrapText="1"/>
    </xf>
    <xf numFmtId="0" fontId="4" fillId="17" borderId="9" xfId="0" applyFont="1" applyFill="1" applyBorder="1" applyAlignment="1">
      <alignment horizontal="left" vertical="top" wrapText="1"/>
    </xf>
    <xf numFmtId="0" fontId="52" fillId="13" borderId="0" xfId="0" applyFont="1" applyFill="1" applyAlignment="1">
      <alignment horizontal="center"/>
    </xf>
    <xf numFmtId="0" fontId="0" fillId="20" borderId="31" xfId="0" applyFill="1" applyBorder="1" applyAlignment="1">
      <alignment horizontal="left" vertical="center" wrapText="1"/>
    </xf>
    <xf numFmtId="0" fontId="0" fillId="20" borderId="33" xfId="0" applyFill="1" applyBorder="1" applyAlignment="1">
      <alignment horizontal="left" vertical="center" wrapText="1"/>
    </xf>
    <xf numFmtId="0" fontId="0" fillId="20" borderId="35" xfId="0" applyFill="1" applyBorder="1" applyAlignment="1">
      <alignment horizontal="left" vertical="center" wrapText="1"/>
    </xf>
    <xf numFmtId="0" fontId="0" fillId="20" borderId="27" xfId="0" applyFill="1" applyBorder="1" applyAlignment="1">
      <alignment horizontal="center" vertical="center"/>
    </xf>
    <xf numFmtId="0" fontId="0" fillId="20" borderId="1" xfId="0" applyFill="1" applyBorder="1" applyAlignment="1">
      <alignment horizontal="center" vertical="center"/>
    </xf>
    <xf numFmtId="0" fontId="0" fillId="20" borderId="26" xfId="0" applyFill="1" applyBorder="1" applyAlignment="1">
      <alignment horizontal="center" vertical="center"/>
    </xf>
    <xf numFmtId="0" fontId="0" fillId="2" borderId="31" xfId="0" applyFill="1" applyBorder="1" applyAlignment="1">
      <alignment horizontal="left" vertical="center" wrapText="1"/>
    </xf>
    <xf numFmtId="0" fontId="0" fillId="2" borderId="33" xfId="0" applyFill="1" applyBorder="1" applyAlignment="1">
      <alignment horizontal="left" vertical="center" wrapText="1"/>
    </xf>
    <xf numFmtId="0" fontId="0" fillId="2" borderId="35" xfId="0" applyFill="1" applyBorder="1" applyAlignment="1">
      <alignment horizontal="left" vertical="center" wrapText="1"/>
    </xf>
    <xf numFmtId="0" fontId="0" fillId="2" borderId="27" xfId="0" applyFill="1" applyBorder="1" applyAlignment="1">
      <alignment horizontal="center" vertical="center"/>
    </xf>
    <xf numFmtId="0" fontId="0" fillId="2" borderId="1" xfId="0" applyFill="1" applyBorder="1" applyAlignment="1">
      <alignment horizontal="center" vertical="center"/>
    </xf>
    <xf numFmtId="0" fontId="0" fillId="2" borderId="26" xfId="0" applyFill="1" applyBorder="1" applyAlignment="1">
      <alignment horizontal="center" vertical="center"/>
    </xf>
  </cellXfs>
  <cellStyles count="10">
    <cellStyle name="Comma" xfId="3" builtinId="3"/>
    <cellStyle name="Comma 2" xfId="5" xr:uid="{00000000-0005-0000-0000-000001000000}"/>
    <cellStyle name="Comma 3" xfId="7" xr:uid="{00000000-0005-0000-0000-000002000000}"/>
    <cellStyle name="Neutral" xfId="8" builtinId="28"/>
    <cellStyle name="Neutral 2" xfId="2" xr:uid="{00000000-0005-0000-0000-000004000000}"/>
    <cellStyle name="Normal" xfId="0" builtinId="0"/>
    <cellStyle name="Normal 2" xfId="1" xr:uid="{00000000-0005-0000-0000-000006000000}"/>
    <cellStyle name="Normal 4" xfId="6" xr:uid="{00000000-0005-0000-0000-000007000000}"/>
    <cellStyle name="Percent" xfId="4" builtinId="5"/>
    <cellStyle name="Percent 2" xfId="9" xr:uid="{00000000-0005-0000-0000-00000900000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2" formatCode="0.00"/>
    </dxf>
    <dxf>
      <numFmt numFmtId="2" formatCode="0.00"/>
    </dxf>
    <dxf>
      <numFmt numFmtId="2" formatCode="0.00"/>
    </dxf>
    <dxf>
      <numFmt numFmtId="2" formatCode="0.00"/>
    </dxf>
    <dxf>
      <numFmt numFmtId="2" formatCode="0.00"/>
    </dxf>
    <dxf>
      <numFmt numFmtId="2" formatCode="0.00"/>
    </dxf>
    <dxf>
      <numFmt numFmtId="174" formatCode="0.000"/>
    </dxf>
  </dxfs>
  <tableStyles count="0" defaultTableStyle="TableStyleMedium2" defaultPivotStyle="PivotStyleLight16"/>
  <colors>
    <mruColors>
      <color rgb="FFF76257"/>
      <color rgb="FFF55551"/>
      <color rgb="FF92D050"/>
      <color rgb="FFF56767"/>
      <color rgb="FFFF5050"/>
      <color rgb="FF663300"/>
      <color rgb="FFFFFFFF"/>
      <color rgb="FFFF9900"/>
      <color rgb="FFEB6C6B"/>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pivotCacheDefinition" Target="pivotCache/pivotCacheDefinition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0</xdr:colOff>
      <xdr:row>8</xdr:row>
      <xdr:rowOff>45720</xdr:rowOff>
    </xdr:from>
    <xdr:ext cx="2486065" cy="344453"/>
    <mc:AlternateContent xmlns:mc="http://schemas.openxmlformats.org/markup-compatibility/2006" xmlns:a14="http://schemas.microsoft.com/office/drawing/2010/main">
      <mc:Choice Requires="a14">
        <xdr:sp macro="" textlink="">
          <xdr:nvSpPr>
            <xdr:cNvPr id="5" name="TextBox 2">
              <a:extLst>
                <a:ext uri="{FF2B5EF4-FFF2-40B4-BE49-F238E27FC236}">
                  <a16:creationId xmlns:a16="http://schemas.microsoft.com/office/drawing/2014/main" id="{976E5792-2EB5-4487-BECF-AEC05172594F}"/>
                </a:ext>
              </a:extLst>
            </xdr:cNvPr>
            <xdr:cNvSpPr txBox="1"/>
          </xdr:nvSpPr>
          <xdr:spPr>
            <a:xfrm>
              <a:off x="0" y="1737360"/>
              <a:ext cx="2486065" cy="3444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𝐷</m:t>
                    </m:r>
                    <m:r>
                      <a:rPr lang="en-US" sz="1100" b="0" i="1">
                        <a:latin typeface="Cambria Math" panose="02040503050406030204" pitchFamily="18" charset="0"/>
                      </a:rPr>
                      <m:t>=</m:t>
                    </m:r>
                    <m:rad>
                      <m:radPr>
                        <m:degHide m:val="on"/>
                        <m:ctrlPr>
                          <a:rPr lang="en-US" sz="1100" b="0" i="1">
                            <a:latin typeface="Cambria Math" panose="02040503050406030204" pitchFamily="18" charset="0"/>
                          </a:rPr>
                        </m:ctrlPr>
                      </m:radPr>
                      <m:deg/>
                      <m:e>
                        <m:sSup>
                          <m:sSupPr>
                            <m:ctrlPr>
                              <a:rPr lang="en-US" sz="1100" b="0" i="1">
                                <a:latin typeface="Cambria Math" panose="02040503050406030204" pitchFamily="18" charset="0"/>
                              </a:rPr>
                            </m:ctrlPr>
                          </m:sSupPr>
                          <m:e>
                            <m:d>
                              <m:dPr>
                                <m:ctrlPr>
                                  <a:rPr lang="en-US" sz="1100" b="0" i="1">
                                    <a:latin typeface="Cambria Math" panose="02040503050406030204" pitchFamily="18" charset="0"/>
                                  </a:rPr>
                                </m:ctrlPr>
                              </m:dPr>
                              <m:e>
                                <m:sSub>
                                  <m:sSubPr>
                                    <m:ctrlPr>
                                      <a:rPr lang="en-US" sz="1100" b="0" i="1">
                                        <a:latin typeface="Cambria Math" panose="02040503050406030204" pitchFamily="18" charset="0"/>
                                      </a:rPr>
                                    </m:ctrlPr>
                                  </m:sSubPr>
                                  <m:e>
                                    <m:r>
                                      <a:rPr lang="en-US" sz="1100" b="0" i="1">
                                        <a:latin typeface="Cambria Math" panose="02040503050406030204" pitchFamily="18" charset="0"/>
                                      </a:rPr>
                                      <m:t>𝑅</m:t>
                                    </m:r>
                                  </m:e>
                                  <m:sub>
                                    <m:r>
                                      <a:rPr lang="en-US" sz="1100" b="0" i="1">
                                        <a:latin typeface="Cambria Math" panose="02040503050406030204" pitchFamily="18" charset="0"/>
                                      </a:rPr>
                                      <m:t>𝑒</m:t>
                                    </m:r>
                                  </m:sub>
                                </m:sSub>
                                <m:r>
                                  <m:rPr>
                                    <m:sty m:val="p"/>
                                  </m:rPr>
                                  <a:rPr lang="en-US" sz="1100" b="0" i="0">
                                    <a:latin typeface="Cambria Math" panose="02040503050406030204" pitchFamily="18" charset="0"/>
                                  </a:rPr>
                                  <m:t>sin</m:t>
                                </m:r>
                                <m:d>
                                  <m:dPr>
                                    <m:ctrlPr>
                                      <a:rPr lang="en-US" sz="1100" b="0" i="1">
                                        <a:latin typeface="Cambria Math" panose="02040503050406030204" pitchFamily="18" charset="0"/>
                                      </a:rPr>
                                    </m:ctrlPr>
                                  </m:dPr>
                                  <m:e>
                                    <m:r>
                                      <a:rPr lang="en-US" sz="1100" b="0" i="1">
                                        <a:latin typeface="Cambria Math" panose="02040503050406030204" pitchFamily="18" charset="0"/>
                                      </a:rPr>
                                      <m:t>𝜖</m:t>
                                    </m:r>
                                  </m:e>
                                </m:d>
                              </m:e>
                            </m:d>
                          </m:e>
                          <m:sup>
                            <m:r>
                              <a:rPr lang="en-US" sz="1100" b="0" i="1">
                                <a:latin typeface="Cambria Math" panose="02040503050406030204" pitchFamily="18" charset="0"/>
                              </a:rPr>
                              <m:t>2</m:t>
                            </m:r>
                          </m:sup>
                        </m:sSup>
                        <m:r>
                          <a:rPr lang="en-US" sz="1100" b="0" i="1">
                            <a:latin typeface="Cambria Math" panose="02040503050406030204" pitchFamily="18" charset="0"/>
                          </a:rPr>
                          <m:t>+</m:t>
                        </m:r>
                        <m:sSup>
                          <m:sSupPr>
                            <m:ctrlPr>
                              <a:rPr lang="en-US" sz="1100" b="0" i="1">
                                <a:latin typeface="Cambria Math" panose="02040503050406030204" pitchFamily="18" charset="0"/>
                              </a:rPr>
                            </m:ctrlPr>
                          </m:sSupPr>
                          <m:e>
                            <m:r>
                              <a:rPr lang="en-US" sz="1100" b="0" i="1">
                                <a:latin typeface="Cambria Math" panose="02040503050406030204" pitchFamily="18" charset="0"/>
                              </a:rPr>
                              <m:t>𝑎</m:t>
                            </m:r>
                          </m:e>
                          <m:sup>
                            <m:r>
                              <a:rPr lang="en-US" sz="1100" b="0" i="1">
                                <a:latin typeface="Cambria Math" panose="02040503050406030204" pitchFamily="18" charset="0"/>
                              </a:rPr>
                              <m:t>2</m:t>
                            </m:r>
                          </m:sup>
                        </m:sSup>
                        <m:r>
                          <a:rPr lang="en-US" sz="1100" b="0" i="1">
                            <a:latin typeface="Cambria Math" panose="02040503050406030204" pitchFamily="18" charset="0"/>
                          </a:rPr>
                          <m:t>−</m:t>
                        </m:r>
                        <m:sSubSup>
                          <m:sSubSupPr>
                            <m:ctrlPr>
                              <a:rPr lang="en-US" sz="1100" b="0" i="1">
                                <a:latin typeface="Cambria Math" panose="02040503050406030204" pitchFamily="18" charset="0"/>
                              </a:rPr>
                            </m:ctrlPr>
                          </m:sSubSupPr>
                          <m:e>
                            <m:r>
                              <a:rPr lang="en-US" sz="1100" b="0" i="1">
                                <a:latin typeface="Cambria Math" panose="02040503050406030204" pitchFamily="18" charset="0"/>
                              </a:rPr>
                              <m:t>𝑅</m:t>
                            </m:r>
                          </m:e>
                          <m:sub>
                            <m:r>
                              <a:rPr lang="en-US" sz="1100" b="0" i="1">
                                <a:latin typeface="Cambria Math" panose="02040503050406030204" pitchFamily="18" charset="0"/>
                              </a:rPr>
                              <m:t>𝑒</m:t>
                            </m:r>
                          </m:sub>
                          <m:sup>
                            <m:r>
                              <a:rPr lang="en-US" sz="1100" b="0" i="1">
                                <a:latin typeface="Cambria Math" panose="02040503050406030204" pitchFamily="18" charset="0"/>
                              </a:rPr>
                              <m:t>2</m:t>
                            </m:r>
                          </m:sup>
                        </m:sSubSup>
                      </m:e>
                    </m:rad>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𝑅</m:t>
                        </m:r>
                      </m:e>
                      <m:sub>
                        <m:r>
                          <a:rPr lang="en-US" sz="1100" b="0" i="1">
                            <a:latin typeface="Cambria Math" panose="02040503050406030204" pitchFamily="18" charset="0"/>
                          </a:rPr>
                          <m:t>𝑒</m:t>
                        </m:r>
                      </m:sub>
                    </m:sSub>
                    <m:func>
                      <m:funcPr>
                        <m:ctrlPr>
                          <a:rPr lang="en-US" sz="1100" b="0" i="1">
                            <a:latin typeface="Cambria Math" panose="02040503050406030204" pitchFamily="18" charset="0"/>
                          </a:rPr>
                        </m:ctrlPr>
                      </m:funcPr>
                      <m:fName>
                        <m:r>
                          <m:rPr>
                            <m:sty m:val="p"/>
                          </m:rPr>
                          <a:rPr lang="en-US" sz="1100" b="0" i="0">
                            <a:latin typeface="Cambria Math" panose="02040503050406030204" pitchFamily="18" charset="0"/>
                          </a:rPr>
                          <m:t>sin</m:t>
                        </m:r>
                      </m:fName>
                      <m:e>
                        <m:d>
                          <m:dPr>
                            <m:ctrlPr>
                              <a:rPr lang="en-US" sz="1100" b="0" i="1">
                                <a:latin typeface="Cambria Math" panose="02040503050406030204" pitchFamily="18" charset="0"/>
                              </a:rPr>
                            </m:ctrlPr>
                          </m:dPr>
                          <m:e>
                            <m:r>
                              <a:rPr lang="en-US" sz="1100" b="0" i="1">
                                <a:latin typeface="Cambria Math" panose="02040503050406030204" pitchFamily="18" charset="0"/>
                              </a:rPr>
                              <m:t>𝜖</m:t>
                            </m:r>
                          </m:e>
                        </m:d>
                      </m:e>
                    </m:func>
                  </m:oMath>
                </m:oMathPara>
              </a14:m>
              <a:endParaRPr lang="en-US" sz="1100" b="0"/>
            </a:p>
          </xdr:txBody>
        </xdr:sp>
      </mc:Choice>
      <mc:Fallback xmlns="">
        <xdr:sp macro="" textlink="">
          <xdr:nvSpPr>
            <xdr:cNvPr id="3" name="TextBox 2">
              <a:extLst>
                <a:ext uri="{FF2B5EF4-FFF2-40B4-BE49-F238E27FC236}">
                  <a16:creationId xmlns:a16="http://schemas.microsoft.com/office/drawing/2014/main" id="{976E5792-2EB5-4487-BECF-AEC05172594F}"/>
                </a:ext>
              </a:extLst>
            </xdr:cNvPr>
            <xdr:cNvSpPr txBox="1"/>
          </xdr:nvSpPr>
          <xdr:spPr>
            <a:xfrm>
              <a:off x="0" y="1737360"/>
              <a:ext cx="2486065" cy="3444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𝐷=√((𝑅_𝑒 sin(𝜖))^2+𝑎^2−𝑅_𝑒^2 )−𝑅_𝑒  sin⁡(𝜖)</a:t>
              </a:r>
              <a:endParaRPr lang="en-US" sz="1100" b="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1142999</xdr:colOff>
      <xdr:row>10</xdr:row>
      <xdr:rowOff>19050</xdr:rowOff>
    </xdr:from>
    <xdr:to>
      <xdr:col>31</xdr:col>
      <xdr:colOff>133349</xdr:colOff>
      <xdr:row>22</xdr:row>
      <xdr:rowOff>39022</xdr:rowOff>
    </xdr:to>
    <xdr:pic>
      <xdr:nvPicPr>
        <xdr:cNvPr id="2" name="Picture 1">
          <a:extLst>
            <a:ext uri="{FF2B5EF4-FFF2-40B4-BE49-F238E27FC236}">
              <a16:creationId xmlns:a16="http://schemas.microsoft.com/office/drawing/2014/main" id="{6BE02B7E-731A-8B44-B44F-EC425C6557C9}"/>
            </a:ext>
          </a:extLst>
        </xdr:cNvPr>
        <xdr:cNvPicPr>
          <a:picLocks noChangeAspect="1"/>
        </xdr:cNvPicPr>
      </xdr:nvPicPr>
      <xdr:blipFill>
        <a:blip xmlns:r="http://schemas.openxmlformats.org/officeDocument/2006/relationships" r:embed="rId1"/>
        <a:stretch>
          <a:fillRect/>
        </a:stretch>
      </xdr:blipFill>
      <xdr:spPr>
        <a:xfrm>
          <a:off x="4571999" y="1974850"/>
          <a:ext cx="19310350" cy="23059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26</xdr:col>
      <xdr:colOff>27214</xdr:colOff>
      <xdr:row>5</xdr:row>
      <xdr:rowOff>9072</xdr:rowOff>
    </xdr:from>
    <xdr:to>
      <xdr:col>54</xdr:col>
      <xdr:colOff>157390</xdr:colOff>
      <xdr:row>29</xdr:row>
      <xdr:rowOff>72485</xdr:rowOff>
    </xdr:to>
    <xdr:pic>
      <xdr:nvPicPr>
        <xdr:cNvPr id="2" name="Picture 1">
          <a:extLst>
            <a:ext uri="{FF2B5EF4-FFF2-40B4-BE49-F238E27FC236}">
              <a16:creationId xmlns:a16="http://schemas.microsoft.com/office/drawing/2014/main" id="{6912EE51-5A22-7A40-938B-A2876420232C}"/>
            </a:ext>
          </a:extLst>
        </xdr:cNvPr>
        <xdr:cNvPicPr>
          <a:picLocks noChangeAspect="1"/>
        </xdr:cNvPicPr>
      </xdr:nvPicPr>
      <xdr:blipFill>
        <a:blip xmlns:r="http://schemas.openxmlformats.org/officeDocument/2006/relationships" r:embed="rId1"/>
        <a:stretch>
          <a:fillRect/>
        </a:stretch>
      </xdr:blipFill>
      <xdr:spPr>
        <a:xfrm>
          <a:off x="19813814" y="1012372"/>
          <a:ext cx="18011776" cy="4635413"/>
        </a:xfrm>
        <a:prstGeom prst="rect">
          <a:avLst/>
        </a:prstGeom>
      </xdr:spPr>
    </xdr:pic>
    <xdr:clientData/>
  </xdr:twoCellAnchor>
  <xdr:twoCellAnchor editAs="oneCell">
    <xdr:from>
      <xdr:col>55</xdr:col>
      <xdr:colOff>316833</xdr:colOff>
      <xdr:row>139</xdr:row>
      <xdr:rowOff>83649</xdr:rowOff>
    </xdr:from>
    <xdr:to>
      <xdr:col>61</xdr:col>
      <xdr:colOff>967654</xdr:colOff>
      <xdr:row>143</xdr:row>
      <xdr:rowOff>142121</xdr:rowOff>
    </xdr:to>
    <xdr:pic>
      <xdr:nvPicPr>
        <xdr:cNvPr id="3" name="Picture 2">
          <a:extLst>
            <a:ext uri="{FF2B5EF4-FFF2-40B4-BE49-F238E27FC236}">
              <a16:creationId xmlns:a16="http://schemas.microsoft.com/office/drawing/2014/main" id="{F5031345-EB0B-2947-AA8E-3F53B919041B}"/>
            </a:ext>
          </a:extLst>
        </xdr:cNvPr>
        <xdr:cNvPicPr>
          <a:picLocks noChangeAspect="1"/>
        </xdr:cNvPicPr>
      </xdr:nvPicPr>
      <xdr:blipFill>
        <a:blip xmlns:r="http://schemas.openxmlformats.org/officeDocument/2006/relationships" r:embed="rId2"/>
        <a:stretch>
          <a:fillRect/>
        </a:stretch>
      </xdr:blipFill>
      <xdr:spPr>
        <a:xfrm>
          <a:off x="39648733" y="30754149"/>
          <a:ext cx="10696521" cy="820472"/>
        </a:xfrm>
        <a:prstGeom prst="rect">
          <a:avLst/>
        </a:prstGeom>
      </xdr:spPr>
    </xdr:pic>
    <xdr:clientData/>
  </xdr:twoCellAnchor>
  <xdr:twoCellAnchor editAs="oneCell">
    <xdr:from>
      <xdr:col>53</xdr:col>
      <xdr:colOff>328276</xdr:colOff>
      <xdr:row>229</xdr:row>
      <xdr:rowOff>108856</xdr:rowOff>
    </xdr:from>
    <xdr:to>
      <xdr:col>59</xdr:col>
      <xdr:colOff>913380</xdr:colOff>
      <xdr:row>232</xdr:row>
      <xdr:rowOff>7226</xdr:rowOff>
    </xdr:to>
    <xdr:pic>
      <xdr:nvPicPr>
        <xdr:cNvPr id="4" name="Picture 3">
          <a:extLst>
            <a:ext uri="{FF2B5EF4-FFF2-40B4-BE49-F238E27FC236}">
              <a16:creationId xmlns:a16="http://schemas.microsoft.com/office/drawing/2014/main" id="{83953D0C-9328-3F42-A56C-06F71D128DED}"/>
            </a:ext>
          </a:extLst>
        </xdr:cNvPr>
        <xdr:cNvPicPr>
          <a:picLocks noChangeAspect="1"/>
        </xdr:cNvPicPr>
      </xdr:nvPicPr>
      <xdr:blipFill>
        <a:blip xmlns:r="http://schemas.openxmlformats.org/officeDocument/2006/relationships" r:embed="rId3"/>
        <a:stretch>
          <a:fillRect/>
        </a:stretch>
      </xdr:blipFill>
      <xdr:spPr>
        <a:xfrm>
          <a:off x="37958376" y="48305356"/>
          <a:ext cx="9767204" cy="469870"/>
        </a:xfrm>
        <a:prstGeom prst="rect">
          <a:avLst/>
        </a:prstGeom>
      </xdr:spPr>
    </xdr:pic>
    <xdr:clientData/>
  </xdr:twoCellAnchor>
  <xdr:twoCellAnchor editAs="oneCell">
    <xdr:from>
      <xdr:col>53</xdr:col>
      <xdr:colOff>252040</xdr:colOff>
      <xdr:row>270</xdr:row>
      <xdr:rowOff>142258</xdr:rowOff>
    </xdr:from>
    <xdr:to>
      <xdr:col>69</xdr:col>
      <xdr:colOff>371102</xdr:colOff>
      <xdr:row>277</xdr:row>
      <xdr:rowOff>94541</xdr:rowOff>
    </xdr:to>
    <xdr:pic>
      <xdr:nvPicPr>
        <xdr:cNvPr id="5" name="Picture 4">
          <a:extLst>
            <a:ext uri="{FF2B5EF4-FFF2-40B4-BE49-F238E27FC236}">
              <a16:creationId xmlns:a16="http://schemas.microsoft.com/office/drawing/2014/main" id="{4B141B2F-2E72-CA45-8623-E13692A155AC}"/>
            </a:ext>
          </a:extLst>
        </xdr:cNvPr>
        <xdr:cNvPicPr>
          <a:picLocks noChangeAspect="1"/>
        </xdr:cNvPicPr>
      </xdr:nvPicPr>
      <xdr:blipFill>
        <a:blip xmlns:r="http://schemas.openxmlformats.org/officeDocument/2006/relationships" r:embed="rId4"/>
        <a:stretch>
          <a:fillRect/>
        </a:stretch>
      </xdr:blipFill>
      <xdr:spPr>
        <a:xfrm>
          <a:off x="37882140" y="58422558"/>
          <a:ext cx="18076862" cy="1311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learspacetoday.sharepoint.com/D:/MURIEL/04%20-%20CleanSpace%20One/01%20-%20Project%20Management/01%20-%20Project%20organisation/02%20-%20WBS%20Budget%20Schedule/CSO-EPFL-A-PM-D003-2-0-Project%20WBS%20and%20budg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learspacetoday.sharepoint.com/D:/MURIEL/04%20-%20CleanSpace%20One/01%20-%20Project%20Management/01%20-%20Project%20organisation/02%20-%20WBS%20Budget%20Schedule/CSO-EPFL-A-PM-D003-1-7-Project%20WBS%20and%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Budget &amp; cost planning"/>
      <sheetName val="Reference tables"/>
      <sheetName val="Budget Min Research A-B"/>
      <sheetName val="High level trade-offs"/>
      <sheetName val="Summary tables"/>
      <sheetName val="Cost from Terma"/>
      <sheetName val="Cost Clyde"/>
      <sheetName val="Cost from Jens"/>
      <sheetName val="Cost from Tommy"/>
      <sheetName val="Cost from JS"/>
      <sheetName val="Cost from KSAT"/>
      <sheetName val="CSO-EPFL-A-PM-D003-2-0-Project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heetName val="Summary table"/>
      <sheetName val="Salary matrix"/>
      <sheetName val="Stacked chart 2017"/>
      <sheetName val="Stacked 2017 no 2016"/>
      <sheetName val="Graphs"/>
      <sheetName val="Chart Budget"/>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rigitte Allegra" refreshedDate="43677.613031250003" createdVersion="6" refreshedVersion="6" minRefreshableVersion="3" recordCount="464" xr:uid="{00000000-000A-0000-FFFF-FFFF00000000}">
  <cacheSource type="worksheet">
    <worksheetSource ref="A8:L469" sheet="VESPUP WBS v1-8"/>
  </cacheSource>
  <cacheFields count="11">
    <cacheField name="WBS" numFmtId="0">
      <sharedItems containsBlank="1" containsMixedTypes="1" containsNumber="1" containsInteger="1" minValue="100000" maxValue="750000"/>
    </cacheField>
    <cacheField name="WP" numFmtId="0">
      <sharedItems containsBlank="1"/>
    </cacheField>
    <cacheField name="T8 Code" numFmtId="0">
      <sharedItems containsBlank="1"/>
    </cacheField>
    <cacheField name="Cost Category" numFmtId="0">
      <sharedItems containsBlank="1" containsMixedTypes="1" containsNumber="1" containsInteger="1" minValue="0" maxValue="0" count="6">
        <m/>
        <s v="MGT"/>
        <s v="MISSION"/>
        <n v="0"/>
        <s v="TECH"/>
        <e v="#N/A"/>
      </sharedItems>
    </cacheField>
    <cacheField name="Cost Type" numFmtId="0">
      <sharedItems containsBlank="1" containsMixedTypes="1" containsNumber="1" containsInteger="1" minValue="0" maxValue="0" count="5">
        <m/>
        <s v="Manpower"/>
        <s v="Procurement"/>
        <e v="#N/A"/>
        <n v="0"/>
      </sharedItems>
    </cacheField>
    <cacheField name="Partner WP#" numFmtId="0">
      <sharedItems containsString="0" containsBlank="1" containsNumber="1" containsInteger="1" minValue="110200" maxValue="110200"/>
    </cacheField>
    <cacheField name="Responsibility" numFmtId="0">
      <sharedItems containsBlank="1" count="11">
        <m/>
        <s v="ClearSpace"/>
        <s v="OHB-Sweden"/>
        <s v="Airbus DS"/>
        <s v="APCO-Technologies"/>
        <s v="Syderal Swiss"/>
        <s v="Ruag-Space"/>
        <s v="EPFL"/>
        <s v="AIUB"/>
        <s v="Provision university/Belstead"/>
        <s v="X"/>
      </sharedItems>
    </cacheField>
    <cacheField name="Country" numFmtId="0">
      <sharedItems containsBlank="1"/>
    </cacheField>
    <cacheField name="Phase" numFmtId="0">
      <sharedItems containsBlank="1" count="6">
        <m/>
        <s v="A"/>
        <s v="B"/>
        <s v="C"/>
        <s v="D"/>
        <s v="E/F"/>
      </sharedItems>
    </cacheField>
    <cacheField name="AMT KEUR" numFmtId="0">
      <sharedItems containsString="0" containsBlank="1" containsNumber="1" minValue="0" maxValue="687.14431474489959"/>
    </cacheField>
    <cacheField name="FTE" numFmtId="0">
      <sharedItems containsString="0" containsBlank="1" containsNumber="1" minValue="0" maxValue="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64">
  <r>
    <n v="100000"/>
    <s v="Project Management and SE"/>
    <m/>
    <x v="0"/>
    <x v="0"/>
    <m/>
    <x v="0"/>
    <m/>
    <x v="0"/>
    <m/>
    <m/>
  </r>
  <r>
    <n v="110000"/>
    <s v="Project Management"/>
    <s v="A1"/>
    <x v="1"/>
    <x v="1"/>
    <m/>
    <x v="0"/>
    <m/>
    <x v="0"/>
    <m/>
    <m/>
  </r>
  <r>
    <n v="110100"/>
    <s v="ClearSpace Project Management"/>
    <s v="A1"/>
    <x v="1"/>
    <x v="1"/>
    <m/>
    <x v="1"/>
    <s v="CH"/>
    <x v="1"/>
    <n v="78.061180936032798"/>
    <n v="1.3333333333333333"/>
  </r>
  <r>
    <n v="110100"/>
    <s v="ClearSpace Project Management"/>
    <s v="A1"/>
    <x v="1"/>
    <x v="1"/>
    <m/>
    <x v="1"/>
    <s v="CH"/>
    <x v="2"/>
    <n v="499.69451924451539"/>
    <n v="2"/>
  </r>
  <r>
    <n v="110100"/>
    <s v="ClearSpace Project Management"/>
    <s v="A1"/>
    <x v="1"/>
    <x v="1"/>
    <m/>
    <x v="1"/>
    <s v="CH"/>
    <x v="3"/>
    <n v="499.69451924451533"/>
    <n v="3"/>
  </r>
  <r>
    <n v="110100"/>
    <s v="ClearSpace Project Management"/>
    <s v="A1"/>
    <x v="1"/>
    <x v="1"/>
    <m/>
    <x v="1"/>
    <s v="CH"/>
    <x v="4"/>
    <n v="687.14431474489959"/>
    <n v="2"/>
  </r>
  <r>
    <n v="110100"/>
    <s v="ClearSpace Project Management"/>
    <s v="A1"/>
    <x v="1"/>
    <x v="1"/>
    <m/>
    <x v="1"/>
    <s v="CH"/>
    <x v="5"/>
    <n v="140.58734662528809"/>
    <n v="0.5"/>
  </r>
  <r>
    <n v="110110"/>
    <s v="Project &amp; contractor management"/>
    <s v="A1"/>
    <x v="1"/>
    <x v="1"/>
    <m/>
    <x v="0"/>
    <m/>
    <x v="0"/>
    <m/>
    <m/>
  </r>
  <r>
    <n v="110120"/>
    <s v="Project planning, cost and schedule management"/>
    <s v="A1"/>
    <x v="1"/>
    <x v="1"/>
    <m/>
    <x v="0"/>
    <m/>
    <x v="0"/>
    <m/>
    <m/>
  </r>
  <r>
    <n v="110130"/>
    <s v="Risk management"/>
    <s v="A1"/>
    <x v="1"/>
    <x v="1"/>
    <m/>
    <x v="0"/>
    <m/>
    <x v="0"/>
    <m/>
    <m/>
  </r>
  <r>
    <n v="110140"/>
    <s v="Documentation management"/>
    <s v="A1"/>
    <x v="1"/>
    <x v="1"/>
    <m/>
    <x v="0"/>
    <m/>
    <x v="0"/>
    <m/>
    <m/>
  </r>
  <r>
    <n v="110150"/>
    <s v="Integrated logistics"/>
    <s v="A1"/>
    <x v="1"/>
    <x v="1"/>
    <m/>
    <x v="0"/>
    <m/>
    <x v="0"/>
    <m/>
    <m/>
  </r>
  <r>
    <n v="110160"/>
    <s v="Legal &amp; UN coordination"/>
    <s v="A1"/>
    <x v="1"/>
    <x v="1"/>
    <m/>
    <x v="0"/>
    <m/>
    <x v="0"/>
    <m/>
    <m/>
  </r>
  <r>
    <n v="110170"/>
    <s v="Financial reporting, procurements &amp; negociation"/>
    <s v="A1"/>
    <x v="1"/>
    <x v="1"/>
    <m/>
    <x v="0"/>
    <m/>
    <x v="0"/>
    <m/>
    <m/>
  </r>
  <r>
    <n v="110180"/>
    <s v="Admin and IT"/>
    <s v="A1"/>
    <x v="1"/>
    <x v="1"/>
    <m/>
    <x v="0"/>
    <m/>
    <x v="0"/>
    <m/>
    <m/>
  </r>
  <r>
    <n v="110190"/>
    <s v="PR &amp; External communication"/>
    <s v="A1"/>
    <x v="1"/>
    <x v="1"/>
    <m/>
    <x v="0"/>
    <m/>
    <x v="0"/>
    <m/>
    <m/>
  </r>
  <r>
    <n v="110200"/>
    <s v="OHB-Se Projet Management"/>
    <s v="A1"/>
    <x v="1"/>
    <x v="1"/>
    <n v="110200"/>
    <x v="2"/>
    <s v="SE"/>
    <x v="1"/>
    <m/>
    <m/>
  </r>
  <r>
    <n v="110300"/>
    <s v="Airbus DS Projet Management"/>
    <s v="A1"/>
    <x v="1"/>
    <x v="1"/>
    <m/>
    <x v="3"/>
    <s v="DE"/>
    <x v="0"/>
    <m/>
    <m/>
  </r>
  <r>
    <n v="110400"/>
    <s v="APCO-Techn Project Management"/>
    <s v="A1"/>
    <x v="1"/>
    <x v="1"/>
    <m/>
    <x v="4"/>
    <s v="CH"/>
    <x v="0"/>
    <m/>
    <m/>
  </r>
  <r>
    <n v="110500"/>
    <s v="Syderal-Swiss Project Management"/>
    <s v="A1"/>
    <x v="1"/>
    <x v="1"/>
    <m/>
    <x v="5"/>
    <s v="CH"/>
    <x v="0"/>
    <m/>
    <m/>
  </r>
  <r>
    <n v="110600"/>
    <s v="RUAG-Space Project Management"/>
    <s v="A1"/>
    <x v="1"/>
    <x v="1"/>
    <m/>
    <x v="6"/>
    <s v="CH"/>
    <x v="0"/>
    <m/>
    <m/>
  </r>
  <r>
    <n v="110700"/>
    <s v="EPFL Project Management"/>
    <s v="A1"/>
    <x v="1"/>
    <x v="1"/>
    <m/>
    <x v="7"/>
    <s v="CH"/>
    <x v="0"/>
    <m/>
    <m/>
  </r>
  <r>
    <n v="110800"/>
    <s v="AIUB Project management"/>
    <s v="A1"/>
    <x v="1"/>
    <x v="1"/>
    <m/>
    <x v="8"/>
    <s v="CH"/>
    <x v="0"/>
    <m/>
    <m/>
  </r>
  <r>
    <n v="120000"/>
    <s v="Project System Engineering"/>
    <s v="A3"/>
    <x v="2"/>
    <x v="1"/>
    <m/>
    <x v="0"/>
    <m/>
    <x v="0"/>
    <m/>
    <m/>
  </r>
  <r>
    <n v="120100"/>
    <s v="Project level system engineering"/>
    <s v="A3"/>
    <x v="2"/>
    <x v="1"/>
    <m/>
    <x v="1"/>
    <s v="CH"/>
    <x v="1"/>
    <n v="83.282419874085889"/>
    <n v="0.7"/>
  </r>
  <r>
    <n v="120100"/>
    <s v="Project level system engineering"/>
    <s v="A3"/>
    <x v="2"/>
    <x v="1"/>
    <m/>
    <x v="1"/>
    <s v="CH"/>
    <x v="2"/>
    <n v="166.56483974817178"/>
    <n v="0.7"/>
  </r>
  <r>
    <n v="120100"/>
    <s v="Project level system engineering"/>
    <s v="A3"/>
    <x v="2"/>
    <x v="1"/>
    <m/>
    <x v="1"/>
    <s v="CH"/>
    <x v="3"/>
    <n v="166.56483974817178"/>
    <n v="1"/>
  </r>
  <r>
    <n v="120100"/>
    <s v="Project level system engineering"/>
    <s v="A3"/>
    <x v="2"/>
    <x v="1"/>
    <m/>
    <x v="1"/>
    <s v="CH"/>
    <x v="4"/>
    <n v="333.12967949634361"/>
    <n v="1"/>
  </r>
  <r>
    <n v="120100"/>
    <s v="Project level system engineering"/>
    <s v="A3"/>
    <x v="2"/>
    <x v="1"/>
    <m/>
    <x v="1"/>
    <s v="CH"/>
    <x v="5"/>
    <n v="0"/>
    <n v="0"/>
  </r>
  <r>
    <n v="120110"/>
    <s v="System engineering planning &amp; management"/>
    <s v="A3"/>
    <x v="2"/>
    <x v="1"/>
    <m/>
    <x v="0"/>
    <m/>
    <x v="0"/>
    <m/>
    <m/>
  </r>
  <r>
    <n v="120111"/>
    <s v="Project life cycle assessment"/>
    <s v="A3"/>
    <x v="2"/>
    <x v="1"/>
    <m/>
    <x v="7"/>
    <s v="CH"/>
    <x v="0"/>
    <m/>
    <m/>
  </r>
  <r>
    <n v="120120"/>
    <s v="Systems planning, cost and scheduling"/>
    <s v="A3"/>
    <x v="2"/>
    <x v="1"/>
    <m/>
    <x v="0"/>
    <m/>
    <x v="0"/>
    <m/>
    <m/>
  </r>
  <r>
    <n v="120130"/>
    <s v="Risk assessment and management"/>
    <s v="A3"/>
    <x v="2"/>
    <x v="1"/>
    <m/>
    <x v="0"/>
    <m/>
    <x v="0"/>
    <m/>
    <m/>
  </r>
  <r>
    <n v="120140"/>
    <s v="Specifications and requirements management"/>
    <s v="A3"/>
    <x v="2"/>
    <x v="1"/>
    <m/>
    <x v="0"/>
    <m/>
    <x v="0"/>
    <m/>
    <m/>
  </r>
  <r>
    <n v="120150"/>
    <s v="Interfaces control and management"/>
    <s v="A3"/>
    <x v="2"/>
    <x v="1"/>
    <m/>
    <x v="0"/>
    <m/>
    <x v="0"/>
    <m/>
    <m/>
  </r>
  <r>
    <n v="120160"/>
    <s v="Changes and non-conformance control"/>
    <s v="A3"/>
    <x v="2"/>
    <x v="1"/>
    <m/>
    <x v="0"/>
    <m/>
    <x v="0"/>
    <m/>
    <m/>
  </r>
  <r>
    <n v="120170"/>
    <s v="Industrial design"/>
    <s v="A3"/>
    <x v="2"/>
    <x v="1"/>
    <m/>
    <x v="0"/>
    <m/>
    <x v="0"/>
    <m/>
    <m/>
  </r>
  <r>
    <n v="120180"/>
    <s v="Licenses and registrations"/>
    <s v="A3"/>
    <x v="2"/>
    <x v="1"/>
    <m/>
    <x v="1"/>
    <s v="CH"/>
    <x v="0"/>
    <m/>
    <m/>
  </r>
  <r>
    <n v="120190"/>
    <s v="Launch procurement management"/>
    <s v="A3"/>
    <x v="2"/>
    <x v="1"/>
    <m/>
    <x v="0"/>
    <m/>
    <x v="0"/>
    <m/>
    <m/>
  </r>
  <r>
    <n v="120200"/>
    <s v="ESA expertise and test observations"/>
    <s v="A3"/>
    <x v="2"/>
    <x v="1"/>
    <m/>
    <x v="1"/>
    <s v="CH"/>
    <x v="1"/>
    <n v="78.061180936032798"/>
    <n v="0.7"/>
  </r>
  <r>
    <n v="120200"/>
    <s v="ESA expertise and test observations"/>
    <s v="A3"/>
    <x v="2"/>
    <x v="1"/>
    <m/>
    <x v="1"/>
    <s v="CH"/>
    <x v="2"/>
    <n v="156.1223618720656"/>
    <n v="0.7"/>
  </r>
  <r>
    <n v="120200"/>
    <s v="ESA expertise and test observations"/>
    <s v="A3"/>
    <x v="2"/>
    <x v="1"/>
    <m/>
    <x v="1"/>
    <s v="CH"/>
    <x v="3"/>
    <n v="156.1223618720656"/>
    <n v="1"/>
  </r>
  <r>
    <n v="120200"/>
    <s v="ESA expertise and test observations"/>
    <s v="A3"/>
    <x v="2"/>
    <x v="1"/>
    <m/>
    <x v="1"/>
    <s v="CH"/>
    <x v="4"/>
    <n v="312.24472374413114"/>
    <n v="1"/>
  </r>
  <r>
    <n v="120200"/>
    <s v="ESA expertise and test observations"/>
    <s v="A3"/>
    <x v="2"/>
    <x v="1"/>
    <m/>
    <x v="1"/>
    <s v="CH"/>
    <x v="5"/>
    <n v="93.673417123239375"/>
    <n v="0.4"/>
  </r>
  <r>
    <n v="130000"/>
    <s v="PA/QA"/>
    <s v="A2"/>
    <x v="1"/>
    <x v="1"/>
    <m/>
    <x v="0"/>
    <m/>
    <x v="0"/>
    <m/>
    <m/>
  </r>
  <r>
    <n v="130100"/>
    <s v="PA/QA - ClearSpace"/>
    <s v="A2"/>
    <x v="1"/>
    <x v="1"/>
    <m/>
    <x v="1"/>
    <s v="CH"/>
    <x v="1"/>
    <n v="39.030590468016399"/>
    <n v="0.3"/>
  </r>
  <r>
    <n v="130100"/>
    <s v="PA/QA - ClearSpace"/>
    <s v="A2"/>
    <x v="1"/>
    <x v="1"/>
    <m/>
    <x v="1"/>
    <s v="CH"/>
    <x v="2"/>
    <n v="156.1223618720656"/>
    <n v="0.7"/>
  </r>
  <r>
    <n v="130100"/>
    <s v="PA/QA - ClearSpace"/>
    <s v="A2"/>
    <x v="1"/>
    <x v="1"/>
    <m/>
    <x v="1"/>
    <s v="CH"/>
    <x v="3"/>
    <n v="312.24472374413119"/>
    <n v="2"/>
  </r>
  <r>
    <n v="130100"/>
    <s v="PA/QA - ClearSpace"/>
    <s v="A2"/>
    <x v="1"/>
    <x v="1"/>
    <m/>
    <x v="1"/>
    <s v="CH"/>
    <x v="4"/>
    <n v="624.48944748826227"/>
    <n v="2"/>
  </r>
  <r>
    <n v="130100"/>
    <s v="PA/QA - ClearSpace"/>
    <s v="A2"/>
    <x v="1"/>
    <x v="1"/>
    <m/>
    <x v="1"/>
    <s v="CH"/>
    <x v="5"/>
    <n v="0"/>
    <n v="0"/>
  </r>
  <r>
    <n v="130110"/>
    <s v="SW Product Assurance"/>
    <s v="A2"/>
    <x v="1"/>
    <x v="1"/>
    <m/>
    <x v="0"/>
    <m/>
    <x v="0"/>
    <m/>
    <m/>
  </r>
  <r>
    <n v="130120"/>
    <s v="HW and AIT Product Assurance"/>
    <s v="A2"/>
    <x v="1"/>
    <x v="1"/>
    <m/>
    <x v="0"/>
    <m/>
    <x v="0"/>
    <m/>
    <m/>
  </r>
  <r>
    <n v="130200"/>
    <s v="PA/QA - OHB-Sweden"/>
    <s v="A2"/>
    <x v="1"/>
    <x v="1"/>
    <m/>
    <x v="2"/>
    <s v="SE"/>
    <x v="0"/>
    <m/>
    <m/>
  </r>
  <r>
    <n v="130210"/>
    <s v="SW Product Assurance"/>
    <s v="A2"/>
    <x v="1"/>
    <x v="1"/>
    <m/>
    <x v="0"/>
    <m/>
    <x v="0"/>
    <m/>
    <m/>
  </r>
  <r>
    <n v="130220"/>
    <s v="HW and AIT Product Assurance"/>
    <s v="A2"/>
    <x v="1"/>
    <x v="1"/>
    <m/>
    <x v="0"/>
    <m/>
    <x v="0"/>
    <m/>
    <m/>
  </r>
  <r>
    <n v="130300"/>
    <s v="PA/QA - Airbus DS"/>
    <s v="A2"/>
    <x v="1"/>
    <x v="1"/>
    <m/>
    <x v="3"/>
    <s v="DE"/>
    <x v="0"/>
    <m/>
    <m/>
  </r>
  <r>
    <n v="130400"/>
    <s v="APCO-Techn Product Assurance"/>
    <s v="A2"/>
    <x v="1"/>
    <x v="1"/>
    <m/>
    <x v="4"/>
    <s v="CH"/>
    <x v="0"/>
    <m/>
    <m/>
  </r>
  <r>
    <n v="130500"/>
    <s v="PA/QA - Syderal Swiss"/>
    <s v="A2"/>
    <x v="1"/>
    <x v="1"/>
    <m/>
    <x v="5"/>
    <s v="CH"/>
    <x v="0"/>
    <m/>
    <m/>
  </r>
  <r>
    <n v="130600"/>
    <s v="RUAG-Space product Assurance"/>
    <s v="A2"/>
    <x v="1"/>
    <x v="1"/>
    <m/>
    <x v="0"/>
    <m/>
    <x v="0"/>
    <m/>
    <m/>
  </r>
  <r>
    <n v="140000"/>
    <s v="Commercial, scalability and industrialisation requirements"/>
    <s v="A3"/>
    <x v="2"/>
    <x v="1"/>
    <m/>
    <x v="1"/>
    <s v="CH"/>
    <x v="1"/>
    <n v="39.030590468016399"/>
    <n v="0.3"/>
  </r>
  <r>
    <n v="140000"/>
    <s v="Commercial, scalability and industrialisation requirements"/>
    <s v="A3"/>
    <x v="2"/>
    <x v="1"/>
    <m/>
    <x v="1"/>
    <s v="CH"/>
    <x v="2"/>
    <n v="78.061180936032798"/>
    <n v="0.3"/>
  </r>
  <r>
    <n v="140000"/>
    <s v="Commercial, scalability and industrialisation requirements"/>
    <s v="A3"/>
    <x v="2"/>
    <x v="1"/>
    <m/>
    <x v="1"/>
    <s v="CH"/>
    <x v="3"/>
    <n v="78.061180936032798"/>
    <n v="0.5"/>
  </r>
  <r>
    <n v="140000"/>
    <s v="Commercial, scalability and industrialisation requirements"/>
    <s v="A3"/>
    <x v="2"/>
    <x v="1"/>
    <m/>
    <x v="1"/>
    <s v="CH"/>
    <x v="4"/>
    <n v="156.12236187206557"/>
    <n v="0.5"/>
  </r>
  <r>
    <n v="140000"/>
    <s v="Commercial, scalability and industrialisation requirements"/>
    <s v="A3"/>
    <x v="2"/>
    <x v="1"/>
    <m/>
    <x v="1"/>
    <s v="CH"/>
    <x v="5"/>
    <n v="0"/>
    <n v="0"/>
  </r>
  <r>
    <n v="140100"/>
    <s v="Definition of commercial costumer requirements"/>
    <s v="A3"/>
    <x v="2"/>
    <x v="1"/>
    <m/>
    <x v="0"/>
    <m/>
    <x v="0"/>
    <m/>
    <m/>
  </r>
  <r>
    <n v="140200"/>
    <s v="Commercial service mission architectures"/>
    <s v="A3"/>
    <x v="2"/>
    <x v="1"/>
    <m/>
    <x v="0"/>
    <m/>
    <x v="0"/>
    <m/>
    <m/>
  </r>
  <r>
    <n v="140300"/>
    <s v="Scalability analysis of space and ground segment"/>
    <s v="A3"/>
    <x v="2"/>
    <x v="1"/>
    <m/>
    <x v="0"/>
    <m/>
    <x v="0"/>
    <m/>
    <m/>
  </r>
  <r>
    <n v="140400"/>
    <s v="Industrialisation and commercial operational plan"/>
    <s v="A3"/>
    <x v="2"/>
    <x v="1"/>
    <m/>
    <x v="0"/>
    <m/>
    <x v="0"/>
    <m/>
    <m/>
  </r>
  <r>
    <n v="140410"/>
    <s v="Industrialisation plan"/>
    <s v="A3"/>
    <x v="2"/>
    <x v="1"/>
    <m/>
    <x v="6"/>
    <s v="CH"/>
    <x v="0"/>
    <m/>
    <m/>
  </r>
  <r>
    <n v="140420"/>
    <s v="Operational plan"/>
    <s v="A3"/>
    <x v="2"/>
    <x v="1"/>
    <m/>
    <x v="1"/>
    <s v="CH"/>
    <x v="0"/>
    <m/>
    <m/>
  </r>
  <r>
    <n v="200000"/>
    <s v="Mission Engineering"/>
    <s v="A3"/>
    <x v="2"/>
    <x v="1"/>
    <m/>
    <x v="0"/>
    <m/>
    <x v="0"/>
    <m/>
    <m/>
  </r>
  <r>
    <n v="210000"/>
    <s v="Mission analysis"/>
    <s v="A3"/>
    <x v="2"/>
    <x v="1"/>
    <m/>
    <x v="1"/>
    <s v="CH"/>
    <x v="1"/>
    <n v="66.625935899268711"/>
    <n v="0.5"/>
  </r>
  <r>
    <n v="210000"/>
    <s v="Mission analysis"/>
    <s v="A3"/>
    <x v="2"/>
    <x v="1"/>
    <m/>
    <x v="1"/>
    <s v="CH"/>
    <x v="2"/>
    <n v="133.25187179853742"/>
    <n v="0.5"/>
  </r>
  <r>
    <n v="210000"/>
    <s v="Mission analysis"/>
    <s v="A3"/>
    <x v="2"/>
    <x v="1"/>
    <m/>
    <x v="1"/>
    <s v="CH"/>
    <x v="3"/>
    <n v="133.25187179853742"/>
    <n v="0.8"/>
  </r>
  <r>
    <n v="210000"/>
    <s v="Mission analysis"/>
    <s v="A3"/>
    <x v="2"/>
    <x v="1"/>
    <m/>
    <x v="1"/>
    <s v="CH"/>
    <x v="4"/>
    <n v="166.56483974817181"/>
    <n v="0.5"/>
  </r>
  <r>
    <n v="210000"/>
    <s v="Mission analysis"/>
    <s v="A3"/>
    <x v="2"/>
    <x v="1"/>
    <m/>
    <x v="1"/>
    <s v="CH"/>
    <x v="5"/>
    <n v="0"/>
    <n v="0"/>
  </r>
  <r>
    <n v="210100"/>
    <s v="Mission analysis -Preliminary"/>
    <s v="A3"/>
    <x v="2"/>
    <x v="1"/>
    <m/>
    <x v="1"/>
    <s v="CH"/>
    <x v="0"/>
    <m/>
    <m/>
  </r>
  <r>
    <n v="210200"/>
    <s v="Mission analysis - Detailed"/>
    <s v="A3"/>
    <x v="2"/>
    <x v="1"/>
    <m/>
    <x v="1"/>
    <s v="CH"/>
    <x v="0"/>
    <m/>
    <m/>
  </r>
  <r>
    <n v="210300"/>
    <s v="Support to mission analyses"/>
    <s v="A3"/>
    <x v="2"/>
    <x v="1"/>
    <m/>
    <x v="2"/>
    <s v="SE"/>
    <x v="0"/>
    <m/>
    <m/>
  </r>
  <r>
    <n v="210400"/>
    <s v="Flight dynamics software - definition"/>
    <s v="A3"/>
    <x v="2"/>
    <x v="1"/>
    <m/>
    <x v="1"/>
    <s v="CH"/>
    <x v="0"/>
    <m/>
    <m/>
  </r>
  <r>
    <n v="220000"/>
    <s v="Space environment analyses"/>
    <s v="A3"/>
    <x v="2"/>
    <x v="1"/>
    <m/>
    <x v="1"/>
    <s v="CH"/>
    <x v="1"/>
    <n v="15.612236187206561"/>
    <n v="0.1"/>
  </r>
  <r>
    <n v="220000"/>
    <s v="Space environment analyses"/>
    <s v="A3"/>
    <x v="2"/>
    <x v="1"/>
    <m/>
    <x v="1"/>
    <s v="CH"/>
    <x v="2"/>
    <n v="31.224472374413125"/>
    <n v="0.1"/>
  </r>
  <r>
    <n v="220000"/>
    <s v="Space environment analyses"/>
    <s v="A3"/>
    <x v="2"/>
    <x v="1"/>
    <m/>
    <x v="1"/>
    <s v="CH"/>
    <x v="3"/>
    <n v="31.224472374413118"/>
    <n v="0.2"/>
  </r>
  <r>
    <n v="220000"/>
    <s v="Space environment analyses"/>
    <s v="A3"/>
    <x v="2"/>
    <x v="1"/>
    <m/>
    <x v="1"/>
    <s v="CH"/>
    <x v="4"/>
    <n v="0"/>
    <m/>
  </r>
  <r>
    <n v="220000"/>
    <s v="Space environment analyses"/>
    <s v="A3"/>
    <x v="2"/>
    <x v="1"/>
    <m/>
    <x v="1"/>
    <s v="CH"/>
    <x v="5"/>
    <n v="0"/>
    <m/>
  </r>
  <r>
    <n v="220100"/>
    <s v="Radiation environment definition and analyses - Preliminary"/>
    <s v="A3"/>
    <x v="2"/>
    <x v="1"/>
    <m/>
    <x v="1"/>
    <s v="CH"/>
    <x v="0"/>
    <m/>
    <m/>
  </r>
  <r>
    <n v="220200"/>
    <s v="Radiation environment definition and analyses - Detailed"/>
    <s v="A3"/>
    <x v="2"/>
    <x v="1"/>
    <m/>
    <x v="1"/>
    <s v="CH"/>
    <x v="0"/>
    <m/>
    <m/>
  </r>
  <r>
    <n v="220300"/>
    <s v="Space charging analyses"/>
    <s v="A3"/>
    <x v="2"/>
    <x v="1"/>
    <m/>
    <x v="1"/>
    <s v="CH"/>
    <x v="0"/>
    <m/>
    <m/>
  </r>
  <r>
    <n v="230000"/>
    <s v="Mission operations planning"/>
    <s v="A3"/>
    <x v="2"/>
    <x v="1"/>
    <m/>
    <x v="1"/>
    <s v="CH"/>
    <x v="1"/>
    <n v="41.641209937042944"/>
    <n v="0.3"/>
  </r>
  <r>
    <n v="230000"/>
    <s v="Mission operations planning"/>
    <s v="A3"/>
    <x v="2"/>
    <x v="1"/>
    <m/>
    <x v="1"/>
    <s v="CH"/>
    <x v="2"/>
    <n v="166.56483974817178"/>
    <n v="0.7"/>
  </r>
  <r>
    <n v="230000"/>
    <s v="Mission operations planning"/>
    <s v="A3"/>
    <x v="2"/>
    <x v="1"/>
    <m/>
    <x v="1"/>
    <s v="CH"/>
    <x v="3"/>
    <n v="166.56483974817178"/>
    <n v="1"/>
  </r>
  <r>
    <n v="230000"/>
    <s v="Mission operations planning"/>
    <s v="A3"/>
    <x v="2"/>
    <x v="1"/>
    <m/>
    <x v="1"/>
    <s v="CH"/>
    <x v="4"/>
    <n v="333.12967949634361"/>
    <n v="1"/>
  </r>
  <r>
    <n v="230000"/>
    <s v="Mission operations planning"/>
    <s v="A3"/>
    <x v="2"/>
    <x v="1"/>
    <m/>
    <x v="1"/>
    <s v="CH"/>
    <x v="5"/>
    <n v="0"/>
    <m/>
  </r>
  <r>
    <n v="230100"/>
    <s v="Requirements analyses and preliminary mission operations concept"/>
    <s v="A3"/>
    <x v="2"/>
    <x v="1"/>
    <m/>
    <x v="1"/>
    <s v="CH"/>
    <x v="0"/>
    <m/>
    <m/>
  </r>
  <r>
    <n v="230200"/>
    <s v="Operational analysis and concept development"/>
    <s v="A3"/>
    <x v="2"/>
    <x v="1"/>
    <m/>
    <x v="1"/>
    <s v="CH"/>
    <x v="0"/>
    <m/>
    <m/>
  </r>
  <r>
    <n v="230300"/>
    <s v="Operational engineering planning"/>
    <s v="A3"/>
    <x v="2"/>
    <x v="1"/>
    <m/>
    <x v="1"/>
    <s v="CH"/>
    <x v="0"/>
    <m/>
    <m/>
  </r>
  <r>
    <n v="230400"/>
    <s v="Support to mission planning and operations"/>
    <s v="A3"/>
    <x v="2"/>
    <x v="1"/>
    <m/>
    <x v="2"/>
    <s v="SE"/>
    <x v="0"/>
    <m/>
    <m/>
  </r>
  <r>
    <n v="240000"/>
    <s v="Mission data products"/>
    <s v="A3"/>
    <x v="2"/>
    <x v="1"/>
    <m/>
    <x v="1"/>
    <s v="CH"/>
    <x v="3"/>
    <n v="78.061180936032798"/>
    <n v="0.5"/>
  </r>
  <r>
    <n v="240100"/>
    <s v="RV GNC data product and tools definition"/>
    <s v="A3"/>
    <x v="2"/>
    <x v="1"/>
    <m/>
    <x v="1"/>
    <s v="CH"/>
    <x v="0"/>
    <m/>
    <m/>
  </r>
  <r>
    <n v="240200"/>
    <s v="RV Capture data product and tools definition"/>
    <s v="A3"/>
    <x v="2"/>
    <x v="1"/>
    <m/>
    <x v="1"/>
    <s v="CH"/>
    <x v="0"/>
    <m/>
    <m/>
  </r>
  <r>
    <n v="300000"/>
    <s v="Launch vehicle"/>
    <m/>
    <x v="0"/>
    <x v="0"/>
    <m/>
    <x v="0"/>
    <m/>
    <x v="0"/>
    <m/>
    <m/>
  </r>
  <r>
    <n v="310000"/>
    <s v="Launch specification"/>
    <s v="A3"/>
    <x v="2"/>
    <x v="1"/>
    <m/>
    <x v="0"/>
    <m/>
    <x v="0"/>
    <m/>
    <m/>
  </r>
  <r>
    <n v="310100"/>
    <s v="Launch environment definition"/>
    <s v="A3"/>
    <x v="2"/>
    <x v="1"/>
    <m/>
    <x v="1"/>
    <s v="CH"/>
    <x v="1"/>
    <n v="39.030590468016399"/>
    <n v="0.3"/>
  </r>
  <r>
    <n v="310100"/>
    <s v="Launch environment definition"/>
    <s v="A3"/>
    <x v="2"/>
    <x v="1"/>
    <m/>
    <x v="1"/>
    <s v="CH"/>
    <x v="2"/>
    <n v="78.061180936032798"/>
    <n v="0.3"/>
  </r>
  <r>
    <n v="310100"/>
    <s v="Launch environment definition"/>
    <s v="A3"/>
    <x v="2"/>
    <x v="1"/>
    <m/>
    <x v="1"/>
    <s v="CH"/>
    <x v="3"/>
    <n v="78.061180936032798"/>
    <n v="0.5"/>
  </r>
  <r>
    <n v="310100"/>
    <s v="Launch environment definition"/>
    <s v="A3"/>
    <x v="2"/>
    <x v="1"/>
    <m/>
    <x v="1"/>
    <s v="CH"/>
    <x v="4"/>
    <n v="0"/>
    <n v="0"/>
  </r>
  <r>
    <n v="310100"/>
    <s v="Launch environment definition"/>
    <s v="A3"/>
    <x v="2"/>
    <x v="1"/>
    <m/>
    <x v="1"/>
    <s v="CH"/>
    <x v="5"/>
    <n v="0"/>
    <n v="0"/>
  </r>
  <r>
    <n v="310110"/>
    <s v="Support to launch environment definition"/>
    <s v="A3"/>
    <x v="2"/>
    <x v="1"/>
    <m/>
    <x v="4"/>
    <s v="CH"/>
    <x v="0"/>
    <m/>
    <m/>
  </r>
  <r>
    <n v="310200"/>
    <s v="Launch specifications for equipments"/>
    <s v="A3"/>
    <x v="2"/>
    <x v="1"/>
    <m/>
    <x v="4"/>
    <s v="CH"/>
    <x v="0"/>
    <m/>
    <m/>
  </r>
  <r>
    <n v="320000"/>
    <s v="Launch procurement"/>
    <s v="D"/>
    <x v="3"/>
    <x v="2"/>
    <m/>
    <x v="1"/>
    <s v="CH"/>
    <x v="0"/>
    <m/>
    <m/>
  </r>
  <r>
    <n v="400000"/>
    <s v="Flight Segment"/>
    <m/>
    <x v="0"/>
    <x v="0"/>
    <m/>
    <x v="0"/>
    <m/>
    <x v="0"/>
    <m/>
    <m/>
  </r>
  <r>
    <n v="401000"/>
    <s v="Flight System engineering"/>
    <s v="A4"/>
    <x v="2"/>
    <x v="1"/>
    <m/>
    <x v="1"/>
    <s v="CH"/>
    <x v="0"/>
    <m/>
    <m/>
  </r>
  <r>
    <n v="401100"/>
    <s v="Flight System engineering and management"/>
    <s v="A4"/>
    <x v="2"/>
    <x v="1"/>
    <m/>
    <x v="1"/>
    <s v="CH"/>
    <x v="1"/>
    <n v="145.67988399595941"/>
    <n v="1.3"/>
  </r>
  <r>
    <n v="401100"/>
    <s v="Flight System engineering and management"/>
    <s v="A4"/>
    <x v="2"/>
    <x v="1"/>
    <m/>
    <x v="1"/>
    <s v="CH"/>
    <x v="2"/>
    <n v="291.35976799191883"/>
    <n v="1.3"/>
  </r>
  <r>
    <n v="401100"/>
    <s v="Flight System engineering and management"/>
    <s v="A4"/>
    <x v="2"/>
    <x v="1"/>
    <m/>
    <x v="1"/>
    <s v="CH"/>
    <x v="3"/>
    <n v="291.35976799191877"/>
    <n v="2"/>
  </r>
  <r>
    <n v="401100"/>
    <s v="Flight System engineering and management"/>
    <s v="A4"/>
    <x v="2"/>
    <x v="1"/>
    <m/>
    <x v="1"/>
    <s v="CH"/>
    <x v="4"/>
    <n v="333.12967949634361"/>
    <n v="1"/>
  </r>
  <r>
    <n v="401100"/>
    <s v="Flight System engineering and management"/>
    <s v="A4"/>
    <x v="2"/>
    <x v="1"/>
    <m/>
    <x v="1"/>
    <s v="CH"/>
    <x v="5"/>
    <n v="0"/>
    <n v="0"/>
  </r>
  <r>
    <n v="401100"/>
    <s v="Flight System planning, cost and scheduling"/>
    <s v="A4"/>
    <x v="2"/>
    <x v="1"/>
    <m/>
    <x v="0"/>
    <m/>
    <x v="0"/>
    <m/>
    <m/>
  </r>
  <r>
    <n v="401100"/>
    <s v="Specifications and requirements management"/>
    <s v="A4"/>
    <x v="2"/>
    <x v="1"/>
    <m/>
    <x v="0"/>
    <m/>
    <x v="0"/>
    <m/>
    <m/>
  </r>
  <r>
    <n v="401100"/>
    <s v="Interfaces control and management"/>
    <s v="A4"/>
    <x v="2"/>
    <x v="1"/>
    <m/>
    <x v="0"/>
    <m/>
    <x v="0"/>
    <m/>
    <m/>
  </r>
  <r>
    <n v="401100"/>
    <s v="Risk assessment and management"/>
    <s v="A4"/>
    <x v="2"/>
    <x v="1"/>
    <m/>
    <x v="0"/>
    <m/>
    <x v="0"/>
    <m/>
    <m/>
  </r>
  <r>
    <n v="401100"/>
    <s v="Changes and non-conformance control"/>
    <s v="A4"/>
    <x v="2"/>
    <x v="1"/>
    <m/>
    <x v="0"/>
    <m/>
    <x v="0"/>
    <m/>
    <m/>
  </r>
  <r>
    <n v="401200"/>
    <s v="Flight Engineering Simulator (FES)"/>
    <s v="A4"/>
    <x v="2"/>
    <x v="1"/>
    <m/>
    <x v="1"/>
    <s v="CH"/>
    <x v="1"/>
    <n v="31.198732060936752"/>
    <n v="0.3"/>
  </r>
  <r>
    <n v="401200"/>
    <s v="Flight Engineering Simulator (FES)"/>
    <s v="A4"/>
    <x v="2"/>
    <x v="1"/>
    <m/>
    <x v="1"/>
    <s v="CH"/>
    <x v="2"/>
    <n v="62.397464121873497"/>
    <n v="0.3"/>
  </r>
  <r>
    <n v="401200"/>
    <s v="Flight Engineering Simulator (FES)"/>
    <s v="A4"/>
    <x v="2"/>
    <x v="1"/>
    <m/>
    <x v="1"/>
    <s v="CH"/>
    <x v="3"/>
    <n v="124.79492824374701"/>
    <n v="1"/>
  </r>
  <r>
    <n v="401200"/>
    <s v="Flight Engineering Simulator (FES)"/>
    <s v="A4"/>
    <x v="2"/>
    <x v="1"/>
    <m/>
    <x v="1"/>
    <s v="CH"/>
    <x v="4"/>
    <n v="124.79492824374701"/>
    <n v="0.5"/>
  </r>
  <r>
    <n v="401200"/>
    <s v="Flight Engineering Simulator (FES)"/>
    <s v="A4"/>
    <x v="2"/>
    <x v="1"/>
    <m/>
    <x v="1"/>
    <s v="CH"/>
    <x v="5"/>
    <n v="0"/>
    <n v="0"/>
  </r>
  <r>
    <n v="401200"/>
    <s v="FES Preliminary Design"/>
    <s v="A4"/>
    <x v="2"/>
    <x v="1"/>
    <m/>
    <x v="0"/>
    <m/>
    <x v="0"/>
    <m/>
    <m/>
  </r>
  <r>
    <n v="401200"/>
    <s v="FES Detailed design and production"/>
    <s v="A4"/>
    <x v="2"/>
    <x v="1"/>
    <m/>
    <x v="0"/>
    <m/>
    <x v="0"/>
    <m/>
    <m/>
  </r>
  <r>
    <n v="401200"/>
    <s v="FES Validation"/>
    <s v="A4"/>
    <x v="2"/>
    <x v="1"/>
    <m/>
    <x v="0"/>
    <m/>
    <x v="0"/>
    <m/>
    <m/>
  </r>
  <r>
    <n v="401300"/>
    <s v="System level Fault Detection, Isolation and Recovery"/>
    <s v="A4"/>
    <x v="2"/>
    <x v="1"/>
    <m/>
    <x v="1"/>
    <s v="CH"/>
    <x v="0"/>
    <m/>
    <m/>
  </r>
  <r>
    <n v="401300"/>
    <s v="PD - Preliminary design and specifications"/>
    <s v="A4"/>
    <x v="2"/>
    <x v="1"/>
    <m/>
    <x v="0"/>
    <m/>
    <x v="0"/>
    <m/>
    <m/>
  </r>
  <r>
    <n v="401300"/>
    <s v="Model predictive FDIR"/>
    <s v="A4"/>
    <x v="2"/>
    <x v="1"/>
    <m/>
    <x v="0"/>
    <m/>
    <x v="0"/>
    <m/>
    <m/>
  </r>
  <r>
    <n v="401400"/>
    <s v="System mechanical and thermal architecture, SE"/>
    <s v="A4"/>
    <x v="2"/>
    <x v="1"/>
    <m/>
    <x v="1"/>
    <s v="CH"/>
    <x v="0"/>
    <m/>
    <m/>
  </r>
  <r>
    <n v="401410"/>
    <s v="PD - Preliminary design"/>
    <s v="A4"/>
    <x v="2"/>
    <x v="1"/>
    <m/>
    <x v="0"/>
    <m/>
    <x v="0"/>
    <m/>
    <m/>
  </r>
  <r>
    <n v="401411"/>
    <s v="System optimisation and demisabilty "/>
    <s v="A4"/>
    <x v="2"/>
    <x v="1"/>
    <m/>
    <x v="0"/>
    <m/>
    <x v="0"/>
    <m/>
    <m/>
  </r>
  <r>
    <n v="401412"/>
    <s v="VESPA Mock-up design and manufacture "/>
    <s v="A4"/>
    <x v="2"/>
    <x v="1"/>
    <m/>
    <x v="0"/>
    <m/>
    <x v="0"/>
    <m/>
    <m/>
  </r>
  <r>
    <n v="401413"/>
    <s v="Satellite accomodation and re-entry simulations"/>
    <s v="A4"/>
    <x v="2"/>
    <x v="1"/>
    <m/>
    <x v="9"/>
    <m/>
    <x v="0"/>
    <m/>
    <m/>
  </r>
  <r>
    <n v="401420"/>
    <s v="DD - Detailed accomodation and integration"/>
    <s v="A4"/>
    <x v="2"/>
    <x v="1"/>
    <m/>
    <x v="0"/>
    <m/>
    <x v="0"/>
    <m/>
    <m/>
  </r>
  <r>
    <n v="401422"/>
    <s v="Mechanical parts procurement (in ME)"/>
    <s v="C12"/>
    <x v="4"/>
    <x v="2"/>
    <m/>
    <x v="0"/>
    <m/>
    <x v="0"/>
    <m/>
    <m/>
  </r>
  <r>
    <n v="401423"/>
    <s v="SADM"/>
    <s v="C12"/>
    <x v="4"/>
    <x v="2"/>
    <m/>
    <x v="0"/>
    <m/>
    <x v="0"/>
    <m/>
    <m/>
  </r>
  <r>
    <n v="401500"/>
    <s v="System electrical and data architecture, SE"/>
    <s v="A4"/>
    <x v="2"/>
    <x v="1"/>
    <m/>
    <x v="0"/>
    <m/>
    <x v="0"/>
    <m/>
    <m/>
  </r>
  <r>
    <n v="401510"/>
    <s v="PD - Preliminary design"/>
    <s v="A4"/>
    <x v="2"/>
    <x v="1"/>
    <m/>
    <x v="0"/>
    <m/>
    <x v="0"/>
    <m/>
    <m/>
  </r>
  <r>
    <n v="401510"/>
    <s v="Solar Panels specifications"/>
    <s v="A4"/>
    <x v="2"/>
    <x v="1"/>
    <m/>
    <x v="0"/>
    <m/>
    <x v="0"/>
    <m/>
    <m/>
  </r>
  <r>
    <n v="401510"/>
    <s v="EMC/ESD requirements and analyses"/>
    <s v="A4"/>
    <x v="2"/>
    <x v="1"/>
    <m/>
    <x v="0"/>
    <m/>
    <x v="0"/>
    <m/>
    <m/>
  </r>
  <r>
    <n v="401520"/>
    <s v="DD - Detailed design and integration"/>
    <s v="C12"/>
    <x v="4"/>
    <x v="2"/>
    <m/>
    <x v="0"/>
    <m/>
    <x v="0"/>
    <m/>
    <m/>
  </r>
  <r>
    <n v="401520"/>
    <s v="Solar Panels detailed design and MAIT"/>
    <s v="C12"/>
    <x v="4"/>
    <x v="2"/>
    <m/>
    <x v="0"/>
    <m/>
    <x v="0"/>
    <m/>
    <m/>
  </r>
  <r>
    <n v="401520"/>
    <s v="EMC/ESD detailed design and tests"/>
    <s v="C12"/>
    <x v="4"/>
    <x v="2"/>
    <m/>
    <x v="0"/>
    <m/>
    <x v="0"/>
    <m/>
    <m/>
  </r>
  <r>
    <n v="401530"/>
    <s v="FlatSat and PFM Harness SE"/>
    <s v="A4"/>
    <x v="2"/>
    <x v="1"/>
    <m/>
    <x v="0"/>
    <m/>
    <x v="0"/>
    <m/>
    <m/>
  </r>
  <r>
    <n v="401531"/>
    <s v="Design and justification"/>
    <s v="A4"/>
    <x v="2"/>
    <x v="1"/>
    <m/>
    <x v="1"/>
    <s v="CH"/>
    <x v="0"/>
    <m/>
    <m/>
  </r>
  <r>
    <n v="401532"/>
    <s v="SE and system level brakets"/>
    <s v="A4"/>
    <x v="2"/>
    <x v="1"/>
    <m/>
    <x v="1"/>
    <s v="CH"/>
    <x v="0"/>
    <m/>
    <m/>
  </r>
  <r>
    <n v="401533"/>
    <s v="CAPT/RVS/COM harness"/>
    <s v="C12"/>
    <x v="4"/>
    <x v="2"/>
    <m/>
    <x v="1"/>
    <s v="CH"/>
    <x v="0"/>
    <m/>
    <m/>
  </r>
  <r>
    <n v="401534"/>
    <s v="EPS/OBDH/COM harness"/>
    <s v="C12"/>
    <x v="4"/>
    <x v="2"/>
    <m/>
    <x v="3"/>
    <s v="DE"/>
    <x v="0"/>
    <m/>
    <m/>
  </r>
  <r>
    <n v="401535"/>
    <s v="GNC and propulsion harness"/>
    <s v="C12"/>
    <x v="4"/>
    <x v="2"/>
    <m/>
    <x v="2"/>
    <s v="SE"/>
    <x v="0"/>
    <m/>
    <m/>
  </r>
  <r>
    <n v="401536"/>
    <s v="THERM harness"/>
    <s v="C12"/>
    <x v="4"/>
    <x v="2"/>
    <m/>
    <x v="4"/>
    <s v="CH"/>
    <x v="0"/>
    <m/>
    <m/>
  </r>
  <r>
    <n v="401600"/>
    <s v="System Rendezvous architecture, SE"/>
    <s v="A4"/>
    <x v="2"/>
    <x v="1"/>
    <m/>
    <x v="0"/>
    <m/>
    <x v="0"/>
    <m/>
    <m/>
  </r>
  <r>
    <n v="401600"/>
    <s v="HW architecture"/>
    <s v="A4"/>
    <x v="2"/>
    <x v="1"/>
    <m/>
    <x v="0"/>
    <m/>
    <x v="0"/>
    <m/>
    <m/>
  </r>
  <r>
    <n v="401600"/>
    <s v="SW architecture"/>
    <s v="A4"/>
    <x v="2"/>
    <x v="1"/>
    <m/>
    <x v="0"/>
    <m/>
    <x v="0"/>
    <m/>
    <m/>
  </r>
  <r>
    <n v="401600"/>
    <s v="Propulsion"/>
    <s v="A4"/>
    <x v="2"/>
    <x v="1"/>
    <m/>
    <x v="0"/>
    <m/>
    <x v="0"/>
    <m/>
    <m/>
  </r>
  <r>
    <n v="401700"/>
    <s v="MBSE VEPUP model"/>
    <s v="A4"/>
    <x v="2"/>
    <x v="1"/>
    <m/>
    <x v="7"/>
    <s v="CH"/>
    <x v="0"/>
    <m/>
    <m/>
  </r>
  <r>
    <n v="410000"/>
    <s v="Flight Software (FSw)"/>
    <s v="B11"/>
    <x v="4"/>
    <x v="1"/>
    <m/>
    <x v="1"/>
    <s v="CH"/>
    <x v="0"/>
    <m/>
    <m/>
  </r>
  <r>
    <n v="410100"/>
    <s v="Flight software architecture and  SE"/>
    <s v="B11"/>
    <x v="4"/>
    <x v="1"/>
    <m/>
    <x v="1"/>
    <s v="CH"/>
    <x v="0"/>
    <m/>
    <m/>
  </r>
  <r>
    <n v="410200"/>
    <s v="Application layer FSw - Preliminary design"/>
    <s v="B11"/>
    <x v="4"/>
    <x v="1"/>
    <m/>
    <x v="1"/>
    <s v="CH"/>
    <x v="0"/>
    <m/>
    <m/>
  </r>
  <r>
    <n v="410210"/>
    <s v="FLP FSw support - training"/>
    <s v="B11"/>
    <x v="4"/>
    <x v="1"/>
    <m/>
    <x v="3"/>
    <s v="DE"/>
    <x v="0"/>
    <m/>
    <m/>
  </r>
  <r>
    <n v="410300"/>
    <s v="Low level FSW - Preliminary design"/>
    <s v="B11"/>
    <x v="4"/>
    <x v="1"/>
    <m/>
    <x v="1"/>
    <s v="CH"/>
    <x v="0"/>
    <m/>
    <m/>
  </r>
  <r>
    <n v="410400"/>
    <s v="System level FDIR FSw- Preliminary design"/>
    <s v="B11"/>
    <x v="4"/>
    <x v="1"/>
    <m/>
    <x v="1"/>
    <s v="CH"/>
    <x v="0"/>
    <m/>
    <m/>
  </r>
  <r>
    <n v="410500"/>
    <s v="Application layer FSw - Implementation and Unit Testing"/>
    <s v="B11"/>
    <x v="4"/>
    <x v="1"/>
    <m/>
    <x v="1"/>
    <s v="CH"/>
    <x v="0"/>
    <m/>
    <m/>
  </r>
  <r>
    <n v="410510"/>
    <s v="FLP FSw support - integration"/>
    <s v="B11"/>
    <x v="4"/>
    <x v="1"/>
    <m/>
    <x v="3"/>
    <s v="DE"/>
    <x v="0"/>
    <m/>
    <m/>
  </r>
  <r>
    <n v="410600"/>
    <s v="Low level FSW - Design and production"/>
    <s v="B11"/>
    <x v="4"/>
    <x v="1"/>
    <m/>
    <x v="1"/>
    <s v="CH"/>
    <x v="0"/>
    <m/>
    <m/>
  </r>
  <r>
    <n v="410700"/>
    <s v="System level FDIR FSw - Design and production"/>
    <s v="B11"/>
    <x v="4"/>
    <x v="1"/>
    <m/>
    <x v="1"/>
    <s v="CH"/>
    <x v="0"/>
    <m/>
    <m/>
  </r>
  <r>
    <n v="410800"/>
    <s v="FSw implementation and validation"/>
    <s v="B11"/>
    <x v="4"/>
    <x v="1"/>
    <m/>
    <x v="1"/>
    <s v="CH"/>
    <x v="0"/>
    <m/>
    <m/>
  </r>
  <r>
    <n v="410900"/>
    <s v="FSw verification"/>
    <s v="B11"/>
    <x v="4"/>
    <x v="1"/>
    <m/>
    <x v="1"/>
    <s v="CH"/>
    <x v="0"/>
    <m/>
    <m/>
  </r>
  <r>
    <n v="420000"/>
    <s v="Electrical Power System (EPS)"/>
    <s v="B31"/>
    <x v="2"/>
    <x v="1"/>
    <m/>
    <x v="3"/>
    <s v="DE"/>
    <x v="0"/>
    <m/>
    <m/>
  </r>
  <r>
    <n v="420100"/>
    <s v="EPS Systems Engineering and design"/>
    <s v="B31"/>
    <x v="2"/>
    <x v="1"/>
    <m/>
    <x v="3"/>
    <s v="DE"/>
    <x v="0"/>
    <m/>
    <m/>
  </r>
  <r>
    <n v="420200"/>
    <s v="EPS  Preliminary Design"/>
    <s v="B31"/>
    <x v="2"/>
    <x v="1"/>
    <m/>
    <x v="3"/>
    <s v="DE"/>
    <x v="0"/>
    <m/>
    <m/>
  </r>
  <r>
    <n v="420300"/>
    <s v="EPS Detailed Design"/>
    <s v="B31"/>
    <x v="2"/>
    <x v="1"/>
    <m/>
    <x v="3"/>
    <s v="DE"/>
    <x v="0"/>
    <m/>
    <m/>
  </r>
  <r>
    <n v="420400"/>
    <s v="EPS Verification"/>
    <s v="B31"/>
    <x v="2"/>
    <x v="1"/>
    <m/>
    <x v="3"/>
    <s v="DE"/>
    <x v="0"/>
    <m/>
    <m/>
  </r>
  <r>
    <n v="420800"/>
    <s v="EPS AI&amp;V support"/>
    <s v="B31"/>
    <x v="2"/>
    <x v="1"/>
    <m/>
    <x v="3"/>
    <s v="DE"/>
    <x v="0"/>
    <m/>
    <m/>
  </r>
  <r>
    <n v="430000"/>
    <s v="On-Board Data Handling (OBDH)"/>
    <s v="B21"/>
    <x v="2"/>
    <x v="1"/>
    <m/>
    <x v="3"/>
    <s v="DE"/>
    <x v="0"/>
    <m/>
    <m/>
  </r>
  <r>
    <n v="430100"/>
    <s v="OBDH Systems Engineering and design"/>
    <s v="B21"/>
    <x v="2"/>
    <x v="1"/>
    <m/>
    <x v="3"/>
    <s v="DE"/>
    <x v="0"/>
    <m/>
    <m/>
  </r>
  <r>
    <n v="430200"/>
    <s v="OBDH  Preliminary Design Updates"/>
    <s v="B21"/>
    <x v="2"/>
    <x v="1"/>
    <m/>
    <x v="3"/>
    <s v="DE"/>
    <x v="0"/>
    <m/>
    <m/>
  </r>
  <r>
    <n v="430300"/>
    <s v="OBDH Detailed Design and procurement"/>
    <s v="B21"/>
    <x v="2"/>
    <x v="1"/>
    <m/>
    <x v="3"/>
    <s v="DE"/>
    <x v="0"/>
    <m/>
    <m/>
  </r>
  <r>
    <n v="430400"/>
    <s v="OBDH Verification"/>
    <s v="B21"/>
    <x v="2"/>
    <x v="1"/>
    <m/>
    <x v="3"/>
    <s v="DE"/>
    <x v="0"/>
    <m/>
    <m/>
  </r>
  <r>
    <n v="430500"/>
    <s v="OBDH AI&amp;V support"/>
    <s v="B21"/>
    <x v="2"/>
    <x v="1"/>
    <m/>
    <x v="3"/>
    <s v="DE"/>
    <x v="0"/>
    <m/>
    <m/>
  </r>
  <r>
    <n v="440000"/>
    <s v="Telecom"/>
    <s v="B41"/>
    <x v="2"/>
    <x v="1"/>
    <m/>
    <x v="0"/>
    <m/>
    <x v="0"/>
    <m/>
    <m/>
  </r>
  <r>
    <n v="440100"/>
    <s v="Telecom SE and design"/>
    <s v="B41"/>
    <x v="2"/>
    <x v="1"/>
    <m/>
    <x v="1"/>
    <s v="CH"/>
    <x v="0"/>
    <m/>
    <m/>
  </r>
  <r>
    <n v="440200"/>
    <s v="S-band TM/TC"/>
    <s v="B41"/>
    <x v="2"/>
    <x v="1"/>
    <m/>
    <x v="3"/>
    <s v="DE"/>
    <x v="0"/>
    <m/>
    <m/>
  </r>
  <r>
    <n v="440210"/>
    <s v="TM/TC Preliminary design"/>
    <s v="B41"/>
    <x v="2"/>
    <x v="1"/>
    <m/>
    <x v="0"/>
    <m/>
    <x v="0"/>
    <m/>
    <m/>
  </r>
  <r>
    <n v="440220"/>
    <s v="TM/TC Detailed design and procurement"/>
    <s v="B41"/>
    <x v="2"/>
    <x v="1"/>
    <m/>
    <x v="0"/>
    <m/>
    <x v="0"/>
    <m/>
    <m/>
  </r>
  <r>
    <n v="440230"/>
    <s v="TM/TC Software updates"/>
    <s v="B41"/>
    <x v="2"/>
    <x v="1"/>
    <m/>
    <x v="0"/>
    <m/>
    <x v="0"/>
    <m/>
    <m/>
  </r>
  <r>
    <n v="440240"/>
    <s v="TM/TC Verification"/>
    <s v="B41"/>
    <x v="2"/>
    <x v="1"/>
    <m/>
    <x v="0"/>
    <m/>
    <x v="0"/>
    <m/>
    <m/>
  </r>
  <r>
    <n v="440250"/>
    <s v="TM/TC AI&amp;V support"/>
    <s v="B41"/>
    <x v="2"/>
    <x v="1"/>
    <m/>
    <x v="0"/>
    <m/>
    <x v="0"/>
    <m/>
    <m/>
  </r>
  <r>
    <n v="440260"/>
    <s v="…"/>
    <s v="B41"/>
    <x v="2"/>
    <x v="1"/>
    <m/>
    <x v="0"/>
    <m/>
    <x v="0"/>
    <m/>
    <m/>
  </r>
  <r>
    <n v="440300"/>
    <s v="Direct-Downlink System"/>
    <s v="B41"/>
    <x v="2"/>
    <x v="1"/>
    <m/>
    <x v="1"/>
    <s v="CH"/>
    <x v="0"/>
    <m/>
    <m/>
  </r>
  <r>
    <n v="440310"/>
    <s v="DDS Preliminary design"/>
    <s v="B41"/>
    <x v="2"/>
    <x v="1"/>
    <m/>
    <x v="0"/>
    <m/>
    <x v="0"/>
    <m/>
    <m/>
  </r>
  <r>
    <n v="440320"/>
    <s v="DDS Detailed design and procurement"/>
    <s v="B41"/>
    <x v="2"/>
    <x v="1"/>
    <m/>
    <x v="0"/>
    <m/>
    <x v="0"/>
    <m/>
    <m/>
  </r>
  <r>
    <n v="440330"/>
    <s v="DDS Software"/>
    <s v="B41"/>
    <x v="2"/>
    <x v="1"/>
    <m/>
    <x v="0"/>
    <m/>
    <x v="0"/>
    <m/>
    <m/>
  </r>
  <r>
    <n v="440340"/>
    <s v="DDS Verification"/>
    <s v="B41"/>
    <x v="2"/>
    <x v="1"/>
    <m/>
    <x v="0"/>
    <m/>
    <x v="0"/>
    <m/>
    <m/>
  </r>
  <r>
    <n v="440350"/>
    <s v="DDS AI&amp;V support"/>
    <s v="B41"/>
    <x v="2"/>
    <x v="1"/>
    <m/>
    <x v="0"/>
    <m/>
    <x v="0"/>
    <m/>
    <m/>
  </r>
  <r>
    <n v="440360"/>
    <s v="…"/>
    <s v="B41"/>
    <x v="2"/>
    <x v="1"/>
    <m/>
    <x v="0"/>
    <m/>
    <x v="0"/>
    <m/>
    <m/>
  </r>
  <r>
    <n v="440400"/>
    <s v="Subsystem Compatibility tests"/>
    <s v="B41"/>
    <x v="2"/>
    <x v="1"/>
    <m/>
    <x v="1"/>
    <s v="CH"/>
    <x v="0"/>
    <m/>
    <m/>
  </r>
  <r>
    <n v="450000"/>
    <s v="Guidance Navigation &amp; Control (GNC)"/>
    <s v="B51"/>
    <x v="2"/>
    <x v="1"/>
    <m/>
    <x v="2"/>
    <s v="SE"/>
    <x v="0"/>
    <m/>
    <m/>
  </r>
  <r>
    <n v="450100"/>
    <s v="GNC Requirements and engineering"/>
    <s v="B51"/>
    <x v="2"/>
    <x v="1"/>
    <m/>
    <x v="2"/>
    <s v="SE"/>
    <x v="0"/>
    <m/>
    <m/>
  </r>
  <r>
    <n v="450110"/>
    <s v="PD System Engineering Support"/>
    <s v="B51"/>
    <x v="2"/>
    <x v="1"/>
    <m/>
    <x v="1"/>
    <s v="CH"/>
    <x v="0"/>
    <m/>
    <m/>
  </r>
  <r>
    <n v="450200"/>
    <s v="GNC Preliminary Design"/>
    <s v="B51"/>
    <x v="2"/>
    <x v="1"/>
    <m/>
    <x v="2"/>
    <s v="SE"/>
    <x v="0"/>
    <m/>
    <m/>
  </r>
  <r>
    <n v="450210"/>
    <s v="Inputs to Preliminary Design"/>
    <s v="B51"/>
    <x v="2"/>
    <x v="1"/>
    <m/>
    <x v="1"/>
    <s v="CH"/>
    <x v="0"/>
    <m/>
    <m/>
  </r>
  <r>
    <n v="450300"/>
    <s v="GNC DD Systems Engineering"/>
    <s v="B51"/>
    <x v="2"/>
    <x v="1"/>
    <m/>
    <x v="2"/>
    <s v="SE"/>
    <x v="0"/>
    <m/>
    <m/>
  </r>
  <r>
    <n v="450310"/>
    <s v="DD System Enginnering Support"/>
    <s v="B51"/>
    <x v="2"/>
    <x v="1"/>
    <m/>
    <x v="1"/>
    <s v="CH"/>
    <x v="0"/>
    <m/>
    <m/>
  </r>
  <r>
    <n v="450400"/>
    <s v="GNC Detailed Design"/>
    <s v="B51"/>
    <x v="2"/>
    <x v="1"/>
    <m/>
    <x v="2"/>
    <s v="SE"/>
    <x v="0"/>
    <m/>
    <m/>
  </r>
  <r>
    <n v="450410"/>
    <s v="Inputs to Detailed Design"/>
    <s v="B51"/>
    <x v="2"/>
    <x v="1"/>
    <m/>
    <x v="1"/>
    <s v="CH"/>
    <x v="0"/>
    <m/>
    <m/>
  </r>
  <r>
    <n v="450500"/>
    <s v="GNC Software Development"/>
    <m/>
    <x v="5"/>
    <x v="3"/>
    <m/>
    <x v="2"/>
    <s v="SE"/>
    <x v="0"/>
    <m/>
    <m/>
  </r>
  <r>
    <n v="450510"/>
    <s v="SW architectural design"/>
    <m/>
    <x v="5"/>
    <x v="3"/>
    <m/>
    <x v="2"/>
    <s v="SE"/>
    <x v="0"/>
    <m/>
    <m/>
  </r>
  <r>
    <n v="450520"/>
    <s v="SW detailed design and unit test"/>
    <m/>
    <x v="5"/>
    <x v="3"/>
    <m/>
    <x v="2"/>
    <s v="SE"/>
    <x v="0"/>
    <m/>
    <m/>
  </r>
  <r>
    <n v="450521"/>
    <s v="Inputs to  SW detailed design and unit test"/>
    <m/>
    <x v="5"/>
    <x v="3"/>
    <m/>
    <x v="1"/>
    <s v="CH"/>
    <x v="0"/>
    <m/>
    <m/>
  </r>
  <r>
    <n v="450530"/>
    <s v="SW scenario testing"/>
    <m/>
    <x v="5"/>
    <x v="3"/>
    <m/>
    <x v="2"/>
    <s v="SE"/>
    <x v="0"/>
    <m/>
    <m/>
  </r>
  <r>
    <n v="450531"/>
    <s v="Inputs to SW scenario testing"/>
    <m/>
    <x v="5"/>
    <x v="3"/>
    <m/>
    <x v="1"/>
    <s v="CH"/>
    <x v="0"/>
    <m/>
    <m/>
  </r>
  <r>
    <n v="450600"/>
    <s v="Simulators"/>
    <m/>
    <x v="5"/>
    <x v="3"/>
    <m/>
    <x v="2"/>
    <s v="SE"/>
    <x v="0"/>
    <m/>
    <m/>
  </r>
  <r>
    <n v="450610"/>
    <s v="MIL/SIL simulator"/>
    <m/>
    <x v="5"/>
    <x v="3"/>
    <m/>
    <x v="2"/>
    <s v="SE"/>
    <x v="0"/>
    <m/>
    <m/>
  </r>
  <r>
    <n v="450611"/>
    <s v="Inputs to  MIL/SIL simulator"/>
    <m/>
    <x v="5"/>
    <x v="3"/>
    <m/>
    <x v="1"/>
    <s v="CH"/>
    <x v="0"/>
    <m/>
    <m/>
  </r>
  <r>
    <n v="450620"/>
    <s v="Inputs to PIL-simulator"/>
    <m/>
    <x v="5"/>
    <x v="3"/>
    <m/>
    <x v="2"/>
    <s v="SE"/>
    <x v="0"/>
    <m/>
    <m/>
  </r>
  <r>
    <n v="450630"/>
    <s v="Inputs to HIL-simulator"/>
    <m/>
    <x v="5"/>
    <x v="3"/>
    <m/>
    <x v="2"/>
    <s v="SE"/>
    <x v="0"/>
    <m/>
    <m/>
  </r>
  <r>
    <n v="450700"/>
    <s v="Equipment procurement"/>
    <m/>
    <x v="5"/>
    <x v="3"/>
    <m/>
    <x v="2"/>
    <s v="SE"/>
    <x v="0"/>
    <m/>
    <m/>
  </r>
  <r>
    <n v="450800"/>
    <s v="GNC verification"/>
    <m/>
    <x v="5"/>
    <x v="3"/>
    <m/>
    <x v="2"/>
    <s v="SE"/>
    <x v="0"/>
    <m/>
    <m/>
  </r>
  <r>
    <n v="450810"/>
    <s v="Inputs to GNC verification"/>
    <m/>
    <x v="5"/>
    <x v="3"/>
    <m/>
    <x v="1"/>
    <s v="CH"/>
    <x v="0"/>
    <m/>
    <m/>
  </r>
  <r>
    <n v="450900"/>
    <s v="GNC AI&amp;V support"/>
    <m/>
    <x v="5"/>
    <x v="3"/>
    <m/>
    <x v="2"/>
    <s v="SE"/>
    <x v="0"/>
    <m/>
    <m/>
  </r>
  <r>
    <n v="460000"/>
    <s v="Rendezvous Sensors and Processing (RVSP)"/>
    <m/>
    <x v="0"/>
    <x v="0"/>
    <m/>
    <x v="1"/>
    <s v="CH"/>
    <x v="0"/>
    <m/>
    <m/>
  </r>
  <r>
    <n v="460100"/>
    <s v="Systems Engineering"/>
    <s v="C11"/>
    <x v="4"/>
    <x v="1"/>
    <m/>
    <x v="1"/>
    <s v="CH"/>
    <x v="0"/>
    <m/>
    <m/>
  </r>
  <r>
    <n v="460200"/>
    <s v="PD - Onboard Processing Algorithms"/>
    <s v="C11"/>
    <x v="4"/>
    <x v="1"/>
    <m/>
    <x v="1"/>
    <s v="CH"/>
    <x v="0"/>
    <m/>
    <m/>
  </r>
  <r>
    <n v="460201"/>
    <s v="Development of synthetic images database"/>
    <s v="C11"/>
    <x v="4"/>
    <x v="1"/>
    <m/>
    <x v="7"/>
    <s v="CH"/>
    <x v="0"/>
    <m/>
    <m/>
  </r>
  <r>
    <n v="460202"/>
    <s v="Development of 6DoF target pose estimation algorithms"/>
    <s v="C11"/>
    <x v="4"/>
    <x v="1"/>
    <m/>
    <x v="7"/>
    <s v="CH"/>
    <x v="0"/>
    <m/>
    <m/>
  </r>
  <r>
    <n v="460203"/>
    <s v="FPGA based algorithms implementation"/>
    <s v="C11"/>
    <x v="4"/>
    <x v="1"/>
    <m/>
    <x v="7"/>
    <s v="CH"/>
    <x v="0"/>
    <m/>
    <m/>
  </r>
  <r>
    <n v="460204"/>
    <s v="Stereo imaging"/>
    <s v="C11"/>
    <x v="4"/>
    <x v="1"/>
    <m/>
    <x v="7"/>
    <s v="CH"/>
    <x v="0"/>
    <m/>
    <m/>
  </r>
  <r>
    <n v="460300"/>
    <s v="PD - Ground Support Tools"/>
    <s v="C11"/>
    <x v="4"/>
    <x v="1"/>
    <m/>
    <x v="1"/>
    <s v="CH"/>
    <x v="0"/>
    <m/>
    <m/>
  </r>
  <r>
    <n v="460400"/>
    <s v="DD - Onboard Processing Algorithms"/>
    <s v="C11"/>
    <x v="4"/>
    <x v="1"/>
    <m/>
    <x v="1"/>
    <s v="CH"/>
    <x v="0"/>
    <m/>
    <m/>
  </r>
  <r>
    <n v="460500"/>
    <s v="DD - Ground Support Tools"/>
    <s v="C11"/>
    <x v="4"/>
    <x v="1"/>
    <m/>
    <x v="1"/>
    <s v="CH"/>
    <x v="0"/>
    <m/>
    <m/>
  </r>
  <r>
    <n v="460600"/>
    <s v="Flight Software"/>
    <s v="C11"/>
    <x v="4"/>
    <x v="1"/>
    <m/>
    <x v="1"/>
    <s v="CH"/>
    <x v="0"/>
    <m/>
    <m/>
  </r>
  <r>
    <n v="460610"/>
    <s v="Architectural Design"/>
    <s v="C11"/>
    <x v="4"/>
    <x v="1"/>
    <m/>
    <x v="0"/>
    <m/>
    <x v="0"/>
    <m/>
    <m/>
  </r>
  <r>
    <n v="460620"/>
    <s v="Implementation and Unit Testing"/>
    <s v="C11"/>
    <x v="4"/>
    <x v="1"/>
    <m/>
    <x v="0"/>
    <m/>
    <x v="0"/>
    <m/>
    <m/>
  </r>
  <r>
    <n v="460630"/>
    <s v="Performance Validation"/>
    <s v="C11"/>
    <x v="4"/>
    <x v="1"/>
    <m/>
    <x v="0"/>
    <m/>
    <x v="0"/>
    <m/>
    <m/>
  </r>
  <r>
    <n v="460700"/>
    <s v="Ground Support and Analysis Tools"/>
    <s v="C11"/>
    <x v="4"/>
    <x v="1"/>
    <m/>
    <x v="1"/>
    <s v="CH"/>
    <x v="0"/>
    <m/>
    <m/>
  </r>
  <r>
    <n v="460800"/>
    <s v="Simulation and Testing Tools"/>
    <s v="C11"/>
    <x v="4"/>
    <x v="1"/>
    <m/>
    <x v="1"/>
    <s v="CH"/>
    <x v="0"/>
    <m/>
    <m/>
  </r>
  <r>
    <n v="460810"/>
    <s v="Development Environment"/>
    <s v="C11"/>
    <x v="4"/>
    <x v="1"/>
    <m/>
    <x v="0"/>
    <m/>
    <x v="0"/>
    <m/>
    <m/>
  </r>
  <r>
    <n v="460820"/>
    <s v="MIL/SIL Sensor Simulator"/>
    <s v="C11"/>
    <x v="4"/>
    <x v="1"/>
    <m/>
    <x v="0"/>
    <m/>
    <x v="0"/>
    <m/>
    <m/>
  </r>
  <r>
    <n v="460830"/>
    <s v="Inputs to PIL-simulator"/>
    <s v="C11"/>
    <x v="4"/>
    <x v="1"/>
    <m/>
    <x v="0"/>
    <m/>
    <x v="0"/>
    <m/>
    <m/>
  </r>
  <r>
    <n v="460840"/>
    <s v="Inputs to HIL-simulator"/>
    <s v="C11"/>
    <x v="4"/>
    <x v="1"/>
    <m/>
    <x v="0"/>
    <m/>
    <x v="0"/>
    <m/>
    <m/>
  </r>
  <r>
    <n v="460850"/>
    <s v="Testing Framework"/>
    <s v="C11"/>
    <x v="4"/>
    <x v="1"/>
    <m/>
    <x v="0"/>
    <m/>
    <x v="0"/>
    <m/>
    <m/>
  </r>
  <r>
    <n v="460900"/>
    <s v="Sensor Suite"/>
    <s v="C11"/>
    <x v="4"/>
    <x v="1"/>
    <m/>
    <x v="1"/>
    <s v="CH"/>
    <x v="0"/>
    <m/>
    <m/>
  </r>
  <r>
    <n v="460901"/>
    <s v="GNC RV Sensor suits requirements analysis"/>
    <s v="C11"/>
    <x v="4"/>
    <x v="1"/>
    <m/>
    <x v="0"/>
    <m/>
    <x v="0"/>
    <m/>
    <m/>
  </r>
  <r>
    <n v="460902"/>
    <s v="Preliminary Architecture and Sensor Selection"/>
    <s v="C11"/>
    <x v="4"/>
    <x v="1"/>
    <m/>
    <x v="0"/>
    <m/>
    <x v="0"/>
    <m/>
    <m/>
  </r>
  <r>
    <n v="460903"/>
    <s v="Preliminary Characterization and Modeling"/>
    <s v="C11"/>
    <x v="4"/>
    <x v="1"/>
    <m/>
    <x v="0"/>
    <m/>
    <x v="0"/>
    <m/>
    <m/>
  </r>
  <r>
    <n v="460904"/>
    <s v="Preliminary SW Interfaces"/>
    <s v="C11"/>
    <x v="4"/>
    <x v="1"/>
    <m/>
    <x v="0"/>
    <m/>
    <x v="0"/>
    <m/>
    <m/>
  </r>
  <r>
    <n v="460905"/>
    <s v="GNC RV Sensor suit technical specification"/>
    <s v="C11"/>
    <x v="4"/>
    <x v="1"/>
    <m/>
    <x v="0"/>
    <m/>
    <x v="0"/>
    <m/>
    <m/>
  </r>
  <r>
    <n v="460906"/>
    <s v="Characterization and Modeling consolidation"/>
    <s v="C11"/>
    <x v="4"/>
    <x v="1"/>
    <m/>
    <x v="0"/>
    <m/>
    <x v="0"/>
    <m/>
    <m/>
  </r>
  <r>
    <n v="460907"/>
    <s v="SW Interfaces consolidation"/>
    <s v="C11"/>
    <x v="4"/>
    <x v="1"/>
    <m/>
    <x v="0"/>
    <m/>
    <x v="0"/>
    <m/>
    <m/>
  </r>
  <r>
    <n v="460908"/>
    <s v="Procurement Phase A/B"/>
    <s v="C11"/>
    <x v="4"/>
    <x v="1"/>
    <m/>
    <x v="0"/>
    <m/>
    <x v="0"/>
    <m/>
    <m/>
  </r>
  <r>
    <n v="460909"/>
    <s v="GNC RV Sensor suits detailed definition"/>
    <s v="C11"/>
    <x v="4"/>
    <x v="1"/>
    <m/>
    <x v="0"/>
    <m/>
    <x v="0"/>
    <m/>
    <m/>
  </r>
  <r>
    <n v="460910"/>
    <s v="Detailed characterization and Modeling"/>
    <s v="C11"/>
    <x v="4"/>
    <x v="1"/>
    <m/>
    <x v="0"/>
    <m/>
    <x v="0"/>
    <m/>
    <m/>
  </r>
  <r>
    <n v="460911"/>
    <s v="Detailed SW interfaces"/>
    <s v="C11"/>
    <x v="4"/>
    <x v="1"/>
    <m/>
    <x v="0"/>
    <m/>
    <x v="0"/>
    <m/>
    <m/>
  </r>
  <r>
    <n v="460912"/>
    <s v="Verification and Testing Phase A/B"/>
    <s v="C11"/>
    <x v="4"/>
    <x v="1"/>
    <m/>
    <x v="0"/>
    <m/>
    <x v="0"/>
    <m/>
    <m/>
  </r>
  <r>
    <n v="460913"/>
    <s v="AI&amp;V support Phase A/B"/>
    <s v="C11"/>
    <x v="4"/>
    <x v="1"/>
    <m/>
    <x v="0"/>
    <m/>
    <x v="0"/>
    <m/>
    <m/>
  </r>
  <r>
    <n v="460914"/>
    <s v="Procurement Phase C/D"/>
    <s v="C11"/>
    <x v="4"/>
    <x v="1"/>
    <m/>
    <x v="0"/>
    <m/>
    <x v="0"/>
    <m/>
    <m/>
  </r>
  <r>
    <n v="460915"/>
    <s v="Verification and Testing Phase C/D"/>
    <s v="C11"/>
    <x v="4"/>
    <x v="1"/>
    <m/>
    <x v="0"/>
    <m/>
    <x v="0"/>
    <m/>
    <m/>
  </r>
  <r>
    <n v="460916"/>
    <s v="AI&amp;V support Phase C/D"/>
    <s v="C11"/>
    <x v="4"/>
    <x v="1"/>
    <m/>
    <x v="0"/>
    <m/>
    <x v="0"/>
    <m/>
    <m/>
  </r>
  <r>
    <n v="460917"/>
    <s v="Phase E/F activities"/>
    <s v="C11"/>
    <x v="4"/>
    <x v="1"/>
    <m/>
    <x v="0"/>
    <m/>
    <x v="0"/>
    <m/>
    <m/>
  </r>
  <r>
    <n v="461000"/>
    <s v="RV Sensors Data Processing Unit (RVSDPU)"/>
    <m/>
    <x v="5"/>
    <x v="3"/>
    <m/>
    <x v="5"/>
    <s v="CH"/>
    <x v="0"/>
    <m/>
    <m/>
  </r>
  <r>
    <n v="461010"/>
    <s v="RVSPU-EBB Preliminary Design"/>
    <m/>
    <x v="5"/>
    <x v="3"/>
    <m/>
    <x v="0"/>
    <m/>
    <x v="0"/>
    <m/>
    <m/>
  </r>
  <r>
    <n v="461020"/>
    <s v="RVSPU-EQM Design, Production and Test"/>
    <m/>
    <x v="5"/>
    <x v="3"/>
    <m/>
    <x v="0"/>
    <m/>
    <x v="0"/>
    <m/>
    <m/>
  </r>
  <r>
    <n v="461030"/>
    <s v="RVSPU-PFM Design, Production and Tests"/>
    <m/>
    <x v="5"/>
    <x v="3"/>
    <m/>
    <x v="0"/>
    <m/>
    <x v="0"/>
    <m/>
    <m/>
  </r>
  <r>
    <n v="461040"/>
    <s v="Detailed design"/>
    <m/>
    <x v="5"/>
    <x v="3"/>
    <m/>
    <x v="0"/>
    <m/>
    <x v="0"/>
    <m/>
    <m/>
  </r>
  <r>
    <n v="461050"/>
    <s v="QM &amp; FM production and tests"/>
    <m/>
    <x v="5"/>
    <x v="3"/>
    <m/>
    <x v="0"/>
    <m/>
    <x v="0"/>
    <m/>
    <m/>
  </r>
  <r>
    <n v="461060"/>
    <s v="Verification and qualification"/>
    <m/>
    <x v="5"/>
    <x v="3"/>
    <m/>
    <x v="0"/>
    <m/>
    <x v="0"/>
    <m/>
    <m/>
  </r>
  <r>
    <n v="461100"/>
    <s v="Subsystem Tests and Validation"/>
    <m/>
    <x v="5"/>
    <x v="3"/>
    <m/>
    <x v="1"/>
    <s v="CH"/>
    <x v="0"/>
    <m/>
    <m/>
  </r>
  <r>
    <n v="461200"/>
    <s v="Subsystem AI&amp;V"/>
    <m/>
    <x v="5"/>
    <x v="3"/>
    <m/>
    <x v="1"/>
    <s v="CH"/>
    <x v="0"/>
    <m/>
    <m/>
  </r>
  <r>
    <n v="470000"/>
    <s v="Propulsion"/>
    <s v="B61"/>
    <x v="2"/>
    <x v="1"/>
    <m/>
    <x v="2"/>
    <s v="SE"/>
    <x v="0"/>
    <m/>
    <m/>
  </r>
  <r>
    <n v="470100"/>
    <s v="Propulsion Subsystem design definition"/>
    <s v="B61"/>
    <x v="2"/>
    <x v="1"/>
    <m/>
    <x v="0"/>
    <m/>
    <x v="0"/>
    <m/>
    <m/>
  </r>
  <r>
    <n v="470200"/>
    <s v="Propulsion Subsystem design consolidation and analysis"/>
    <s v="B61"/>
    <x v="2"/>
    <x v="1"/>
    <m/>
    <x v="0"/>
    <m/>
    <x v="0"/>
    <m/>
    <m/>
  </r>
  <r>
    <n v="470210"/>
    <s v="Consolidation and Analyses"/>
    <s v="B61"/>
    <x v="2"/>
    <x v="1"/>
    <m/>
    <x v="0"/>
    <m/>
    <x v="0"/>
    <m/>
    <m/>
  </r>
  <r>
    <n v="470220"/>
    <s v="Electrical I/F and engineering model design"/>
    <s v="B61"/>
    <x v="2"/>
    <x v="1"/>
    <m/>
    <x v="0"/>
    <m/>
    <x v="0"/>
    <m/>
    <m/>
  </r>
  <r>
    <n v="470230"/>
    <s v="Subsystem performance analysis"/>
    <s v="B61"/>
    <x v="2"/>
    <x v="1"/>
    <m/>
    <x v="0"/>
    <m/>
    <x v="0"/>
    <m/>
    <m/>
  </r>
  <r>
    <n v="470300"/>
    <s v="Structural and Thermal Model (STM) design"/>
    <s v="B61"/>
    <x v="2"/>
    <x v="1"/>
    <m/>
    <x v="0"/>
    <m/>
    <x v="0"/>
    <m/>
    <m/>
  </r>
  <r>
    <n v="470400"/>
    <s v="Subsystem manufacturing, Assembly and Integration (MAI)"/>
    <s v="B61"/>
    <x v="2"/>
    <x v="1"/>
    <m/>
    <x v="0"/>
    <m/>
    <x v="0"/>
    <m/>
    <m/>
  </r>
  <r>
    <n v="470410"/>
    <s v="Procedure, tooling, fixture and MGSE design and manufacture"/>
    <s v="B61"/>
    <x v="2"/>
    <x v="1"/>
    <m/>
    <x v="0"/>
    <m/>
    <x v="0"/>
    <m/>
    <m/>
  </r>
  <r>
    <n v="470420"/>
    <s v="Engineering model (EM) and EGSE design and manufacture"/>
    <s v="B61"/>
    <x v="2"/>
    <x v="1"/>
    <m/>
    <x v="0"/>
    <m/>
    <x v="0"/>
    <m/>
    <m/>
  </r>
  <r>
    <n v="470430"/>
    <s v="Protoflight model (PFM) manufacturing, assembly and integration"/>
    <s v="B61"/>
    <x v="2"/>
    <x v="1"/>
    <m/>
    <x v="0"/>
    <m/>
    <x v="0"/>
    <m/>
    <m/>
  </r>
  <r>
    <n v="470500"/>
    <s v="Verification and tests"/>
    <s v="B61"/>
    <x v="2"/>
    <x v="1"/>
    <m/>
    <x v="0"/>
    <m/>
    <x v="0"/>
    <m/>
    <m/>
  </r>
  <r>
    <n v="470510"/>
    <s v="Verification and test plan"/>
    <s v="B61"/>
    <x v="2"/>
    <x v="1"/>
    <m/>
    <x v="0"/>
    <m/>
    <x v="0"/>
    <m/>
    <m/>
  </r>
  <r>
    <n v="470520"/>
    <s v="PGSE design and manufacture"/>
    <s v="B61"/>
    <x v="2"/>
    <x v="1"/>
    <m/>
    <x v="0"/>
    <m/>
    <x v="0"/>
    <m/>
    <m/>
  </r>
  <r>
    <n v="470530"/>
    <s v="PFM testing"/>
    <s v="B61"/>
    <x v="2"/>
    <x v="1"/>
    <m/>
    <x v="0"/>
    <m/>
    <x v="0"/>
    <m/>
    <m/>
  </r>
  <r>
    <n v="470540"/>
    <s v="Support to Sat AIT"/>
    <s v="B61"/>
    <x v="2"/>
    <x v="1"/>
    <m/>
    <x v="0"/>
    <m/>
    <x v="0"/>
    <m/>
    <m/>
  </r>
  <r>
    <n v="470550"/>
    <s v="PFM sub-assembly MAIT incl. Piping"/>
    <s v="B61"/>
    <x v="2"/>
    <x v="1"/>
    <m/>
    <x v="0"/>
    <m/>
    <x v="0"/>
    <m/>
    <m/>
  </r>
  <r>
    <n v="470560"/>
    <s v="Equipment procurement"/>
    <s v="B61"/>
    <x v="2"/>
    <x v="1"/>
    <m/>
    <x v="0"/>
    <m/>
    <x v="0"/>
    <m/>
    <m/>
  </r>
  <r>
    <n v="480000"/>
    <s v="Capture system"/>
    <s v="C21"/>
    <x v="4"/>
    <x v="1"/>
    <m/>
    <x v="1"/>
    <s v="CH"/>
    <x v="0"/>
    <m/>
    <m/>
  </r>
  <r>
    <n v="480100"/>
    <s v="System Engineering"/>
    <s v="C21"/>
    <x v="4"/>
    <x v="1"/>
    <m/>
    <x v="0"/>
    <m/>
    <x v="0"/>
    <m/>
    <m/>
  </r>
  <r>
    <n v="480110"/>
    <s v="CS PD System Engineering"/>
    <s v="C21"/>
    <x v="4"/>
    <x v="1"/>
    <m/>
    <x v="0"/>
    <m/>
    <x v="0"/>
    <m/>
    <m/>
  </r>
  <r>
    <n v="480120"/>
    <s v="CS DD System Engineering"/>
    <s v="C21"/>
    <x v="4"/>
    <x v="1"/>
    <m/>
    <x v="0"/>
    <m/>
    <x v="0"/>
    <m/>
    <m/>
  </r>
  <r>
    <n v="480130"/>
    <s v="CS System Engineering for QM"/>
    <s v="C21"/>
    <x v="4"/>
    <x v="1"/>
    <m/>
    <x v="0"/>
    <m/>
    <x v="0"/>
    <m/>
    <m/>
  </r>
  <r>
    <n v="480140"/>
    <s v="CS System Engineering for FM"/>
    <s v="C21"/>
    <x v="4"/>
    <x v="1"/>
    <m/>
    <x v="0"/>
    <m/>
    <x v="0"/>
    <m/>
    <m/>
  </r>
  <r>
    <n v="480200"/>
    <s v="CS Mechanism Design"/>
    <s v="C21"/>
    <x v="4"/>
    <x v="1"/>
    <m/>
    <x v="0"/>
    <m/>
    <x v="0"/>
    <m/>
    <m/>
  </r>
  <r>
    <n v="480210"/>
    <s v="Preliminary CS Mechanism Design"/>
    <s v="C21"/>
    <x v="4"/>
    <x v="1"/>
    <m/>
    <x v="0"/>
    <m/>
    <x v="0"/>
    <m/>
    <m/>
  </r>
  <r>
    <n v="480211"/>
    <s v="Preliminary design damping structure"/>
    <s v="C21"/>
    <x v="4"/>
    <x v="1"/>
    <m/>
    <x v="6"/>
    <s v="CH"/>
    <x v="0"/>
    <m/>
    <m/>
  </r>
  <r>
    <n v="480212"/>
    <s v="Miniaturized proximity sensor"/>
    <s v="C21"/>
    <x v="4"/>
    <x v="1"/>
    <m/>
    <x v="7"/>
    <s v="CH"/>
    <x v="0"/>
    <m/>
    <m/>
  </r>
  <r>
    <n v="480220"/>
    <s v="Detailed CS Mechanism Design"/>
    <s v="C21"/>
    <x v="4"/>
    <x v="1"/>
    <m/>
    <x v="0"/>
    <m/>
    <x v="0"/>
    <m/>
    <m/>
  </r>
  <r>
    <n v="480221"/>
    <s v="Detailed design damping structure"/>
    <s v="C21"/>
    <x v="4"/>
    <x v="1"/>
    <m/>
    <x v="6"/>
    <s v="CH"/>
    <x v="0"/>
    <m/>
    <m/>
  </r>
  <r>
    <n v="480300"/>
    <s v="CS Electrical / Control Design"/>
    <s v="C21"/>
    <x v="4"/>
    <x v="1"/>
    <m/>
    <x v="0"/>
    <m/>
    <x v="0"/>
    <m/>
    <m/>
  </r>
  <r>
    <n v="480310"/>
    <s v="Preliminary CS Electrical/Control Design"/>
    <s v="C21"/>
    <x v="4"/>
    <x v="1"/>
    <m/>
    <x v="0"/>
    <m/>
    <x v="0"/>
    <m/>
    <m/>
  </r>
  <r>
    <n v="480311"/>
    <s v="Fast adaptive control for the capture"/>
    <s v="C21"/>
    <x v="4"/>
    <x v="1"/>
    <m/>
    <x v="7"/>
    <s v="CH"/>
    <x v="0"/>
    <m/>
    <m/>
  </r>
  <r>
    <n v="480320"/>
    <s v="Detailed CS Electrical / Control Design"/>
    <s v="C21"/>
    <x v="4"/>
    <x v="1"/>
    <m/>
    <x v="0"/>
    <m/>
    <x v="0"/>
    <m/>
    <m/>
  </r>
  <r>
    <n v="480400"/>
    <s v="Dynamic Capture Simulation SW"/>
    <s v="C21"/>
    <x v="4"/>
    <x v="1"/>
    <m/>
    <x v="0"/>
    <m/>
    <x v="0"/>
    <m/>
    <m/>
  </r>
  <r>
    <n v="480410"/>
    <s v="Dynamic Capture Simulation SW Design"/>
    <s v="C21"/>
    <x v="4"/>
    <x v="1"/>
    <m/>
    <x v="0"/>
    <m/>
    <x v="0"/>
    <m/>
    <m/>
  </r>
  <r>
    <n v="480411"/>
    <s v="Contact dynamics analyses and simulator"/>
    <s v="C21"/>
    <x v="4"/>
    <x v="1"/>
    <m/>
    <x v="7"/>
    <s v="CH"/>
    <x v="0"/>
    <m/>
    <m/>
  </r>
  <r>
    <n v="480420"/>
    <s v="Dynamic Capture Simulation SW Validation"/>
    <s v="C21"/>
    <x v="4"/>
    <x v="1"/>
    <m/>
    <x v="0"/>
    <m/>
    <x v="0"/>
    <m/>
    <m/>
  </r>
  <r>
    <n v="480500"/>
    <s v="CS GSE Design and production"/>
    <s v="C21"/>
    <x v="4"/>
    <x v="1"/>
    <m/>
    <x v="0"/>
    <m/>
    <x v="0"/>
    <m/>
    <m/>
  </r>
  <r>
    <n v="480600"/>
    <s v="CS MAIT "/>
    <s v="C21"/>
    <x v="4"/>
    <x v="1"/>
    <m/>
    <x v="0"/>
    <m/>
    <x v="0"/>
    <m/>
    <m/>
  </r>
  <r>
    <n v="480610"/>
    <s v="CS EM1 "/>
    <s v="C21"/>
    <x v="4"/>
    <x v="1"/>
    <m/>
    <x v="0"/>
    <m/>
    <x v="0"/>
    <m/>
    <m/>
  </r>
  <r>
    <n v="480620"/>
    <s v="CS EM2 "/>
    <s v="C21"/>
    <x v="4"/>
    <x v="1"/>
    <m/>
    <x v="0"/>
    <m/>
    <x v="0"/>
    <m/>
    <m/>
  </r>
  <r>
    <n v="480630"/>
    <s v="CS QM MAIT"/>
    <s v="C21"/>
    <x v="4"/>
    <x v="1"/>
    <m/>
    <x v="0"/>
    <m/>
    <x v="0"/>
    <m/>
    <m/>
  </r>
  <r>
    <n v="480640"/>
    <s v="CS FM MAIT"/>
    <s v="C21"/>
    <x v="4"/>
    <x v="1"/>
    <m/>
    <x v="0"/>
    <m/>
    <x v="0"/>
    <m/>
    <m/>
  </r>
  <r>
    <n v="490000"/>
    <s v="Platform Mechanical Systems"/>
    <m/>
    <x v="0"/>
    <x v="0"/>
    <m/>
    <x v="4"/>
    <s v="CH"/>
    <x v="0"/>
    <m/>
    <m/>
  </r>
  <r>
    <n v="490100"/>
    <s v="System engineering support"/>
    <s v="B71"/>
    <x v="4"/>
    <x v="1"/>
    <m/>
    <x v="0"/>
    <m/>
    <x v="0"/>
    <m/>
    <m/>
  </r>
  <r>
    <n v="490200"/>
    <s v="Structure Subsystem preliminary design "/>
    <s v="B71"/>
    <x v="4"/>
    <x v="1"/>
    <m/>
    <x v="0"/>
    <m/>
    <x v="0"/>
    <m/>
    <m/>
  </r>
  <r>
    <n v="490300"/>
    <s v="Structure Subsystem detailed design and (structural + thermal) analysis "/>
    <s v="B71"/>
    <x v="4"/>
    <x v="1"/>
    <m/>
    <x v="0"/>
    <m/>
    <x v="0"/>
    <m/>
    <m/>
  </r>
  <r>
    <n v="490400"/>
    <s v="Structure Subsystem STM MAIT"/>
    <s v="B71"/>
    <x v="4"/>
    <x v="1"/>
    <m/>
    <x v="0"/>
    <m/>
    <x v="0"/>
    <m/>
    <m/>
  </r>
  <r>
    <n v="490410"/>
    <s v="Primary Structure (incl. Services Launch Adapter)"/>
    <s v="B71"/>
    <x v="4"/>
    <x v="1"/>
    <m/>
    <x v="0"/>
    <m/>
    <x v="0"/>
    <m/>
    <m/>
  </r>
  <r>
    <n v="490420"/>
    <s v="Secondary structure "/>
    <s v="B71"/>
    <x v="4"/>
    <x v="1"/>
    <m/>
    <x v="0"/>
    <m/>
    <x v="0"/>
    <m/>
    <m/>
  </r>
  <r>
    <n v="490430"/>
    <s v="Tertiary structure (Brackets)"/>
    <s v="B71"/>
    <x v="4"/>
    <x v="1"/>
    <m/>
    <x v="0"/>
    <m/>
    <x v="0"/>
    <m/>
    <m/>
  </r>
  <r>
    <n v="490440"/>
    <s v="STM AIT / AIV"/>
    <s v="B71"/>
    <x v="4"/>
    <x v="1"/>
    <m/>
    <x v="0"/>
    <m/>
    <x v="0"/>
    <m/>
    <m/>
  </r>
  <r>
    <n v="490500"/>
    <s v="Structure Subsystem PFM MAIT"/>
    <s v="B71"/>
    <x v="4"/>
    <x v="1"/>
    <m/>
    <x v="0"/>
    <m/>
    <x v="0"/>
    <m/>
    <m/>
  </r>
  <r>
    <n v="490510"/>
    <s v="Primary Structure (incl. Services Launch Adapter)"/>
    <s v="B71"/>
    <x v="4"/>
    <x v="1"/>
    <m/>
    <x v="0"/>
    <m/>
    <x v="0"/>
    <m/>
    <m/>
  </r>
  <r>
    <n v="490520"/>
    <s v="Secondary structure "/>
    <s v="B71"/>
    <x v="4"/>
    <x v="1"/>
    <m/>
    <x v="0"/>
    <m/>
    <x v="0"/>
    <m/>
    <m/>
  </r>
  <r>
    <n v="490530"/>
    <s v="Tertiary structure (Brackets)"/>
    <s v="B71"/>
    <x v="4"/>
    <x v="1"/>
    <m/>
    <x v="0"/>
    <m/>
    <x v="0"/>
    <m/>
    <m/>
  </r>
  <r>
    <n v="490540"/>
    <s v="Solar panels structure and mechanisms"/>
    <s v="B91"/>
    <x v="2"/>
    <x v="2"/>
    <m/>
    <x v="0"/>
    <m/>
    <x v="0"/>
    <m/>
    <m/>
  </r>
  <r>
    <n v="490540"/>
    <s v="Substrates"/>
    <s v="B91"/>
    <x v="2"/>
    <x v="2"/>
    <m/>
    <x v="0"/>
    <m/>
    <x v="0"/>
    <m/>
    <m/>
  </r>
  <r>
    <n v="490540"/>
    <s v="HDRMs and hinges"/>
    <s v="B91"/>
    <x v="2"/>
    <x v="2"/>
    <m/>
    <x v="0"/>
    <m/>
    <x v="0"/>
    <m/>
    <m/>
  </r>
  <r>
    <n v="490550"/>
    <s v="PFM AIT / AIV"/>
    <s v="B71"/>
    <x v="4"/>
    <x v="1"/>
    <m/>
    <x v="0"/>
    <m/>
    <x v="0"/>
    <m/>
    <m/>
  </r>
  <r>
    <n v="490600"/>
    <s v="Thermal HW"/>
    <s v="B81"/>
    <x v="4"/>
    <x v="1"/>
    <m/>
    <x v="0"/>
    <m/>
    <x v="0"/>
    <m/>
    <m/>
  </r>
  <r>
    <n v="490610"/>
    <s v="Thermal HW procurement "/>
    <s v="B81"/>
    <x v="4"/>
    <x v="1"/>
    <m/>
    <x v="0"/>
    <m/>
    <x v="0"/>
    <m/>
    <m/>
  </r>
  <r>
    <n v="490620"/>
    <s v="Thermal HW AIT / AIV"/>
    <s v="B81"/>
    <x v="4"/>
    <x v="1"/>
    <m/>
    <x v="0"/>
    <m/>
    <x v="0"/>
    <m/>
    <m/>
  </r>
  <r>
    <s v="4A0000"/>
    <s v="Additional Payloads"/>
    <m/>
    <x v="5"/>
    <x v="3"/>
    <m/>
    <x v="0"/>
    <m/>
    <x v="0"/>
    <m/>
    <m/>
  </r>
  <r>
    <s v="4A1000"/>
    <m/>
    <m/>
    <x v="5"/>
    <x v="3"/>
    <m/>
    <x v="0"/>
    <m/>
    <x v="0"/>
    <m/>
    <m/>
  </r>
  <r>
    <s v="4A2000"/>
    <s v="OB 3D-360 Videos"/>
    <m/>
    <x v="5"/>
    <x v="3"/>
    <m/>
    <x v="1"/>
    <s v="CH"/>
    <x v="0"/>
    <m/>
    <m/>
  </r>
  <r>
    <s v="4A3000"/>
    <s v="Ground Immersive technologies"/>
    <m/>
    <x v="5"/>
    <x v="3"/>
    <m/>
    <x v="1"/>
    <s v="CH"/>
    <x v="0"/>
    <m/>
    <m/>
  </r>
  <r>
    <s v="4A4000"/>
    <s v="Space debris payload"/>
    <m/>
    <x v="5"/>
    <x v="3"/>
    <m/>
    <x v="10"/>
    <m/>
    <x v="0"/>
    <m/>
    <m/>
  </r>
  <r>
    <n v="500000"/>
    <s v="Assembly, Integration &amp; Verification"/>
    <m/>
    <x v="5"/>
    <x v="3"/>
    <m/>
    <x v="0"/>
    <m/>
    <x v="0"/>
    <m/>
    <m/>
  </r>
  <r>
    <n v="501000"/>
    <s v="Systems engineering"/>
    <s v="A5"/>
    <x v="2"/>
    <x v="1"/>
    <m/>
    <x v="0"/>
    <m/>
    <x v="0"/>
    <m/>
    <m/>
  </r>
  <r>
    <n v="501000"/>
    <s v="Electrical systems AIV system engineering"/>
    <s v="A5"/>
    <x v="2"/>
    <x v="1"/>
    <m/>
    <x v="0"/>
    <m/>
    <x v="0"/>
    <m/>
    <m/>
  </r>
  <r>
    <n v="501000"/>
    <s v="Mechanical systems  AIV System engineering"/>
    <s v="A5"/>
    <x v="2"/>
    <x v="1"/>
    <m/>
    <x v="0"/>
    <m/>
    <x v="0"/>
    <m/>
    <m/>
  </r>
  <r>
    <n v="501000"/>
    <s v="DLR Consultancy test facility and reviews"/>
    <s v="A5"/>
    <x v="2"/>
    <x v="1"/>
    <m/>
    <x v="0"/>
    <m/>
    <x v="0"/>
    <m/>
    <m/>
  </r>
  <r>
    <n v="510000"/>
    <s v="Ground support Equipment "/>
    <s v="A6"/>
    <x v="2"/>
    <x v="2"/>
    <m/>
    <x v="0"/>
    <m/>
    <x v="0"/>
    <m/>
    <m/>
  </r>
  <r>
    <n v="510100"/>
    <s v="EGSE "/>
    <s v="A6"/>
    <x v="2"/>
    <x v="2"/>
    <m/>
    <x v="2"/>
    <s v="SE"/>
    <x v="0"/>
    <m/>
    <m/>
  </r>
  <r>
    <n v="510200"/>
    <s v="MGSE"/>
    <s v="A6"/>
    <x v="2"/>
    <x v="2"/>
    <m/>
    <x v="4"/>
    <s v="CH"/>
    <x v="0"/>
    <m/>
    <m/>
  </r>
  <r>
    <n v="510210"/>
    <s v="MGSE preliminary design "/>
    <s v="A6"/>
    <x v="2"/>
    <x v="2"/>
    <m/>
    <x v="4"/>
    <s v="CH"/>
    <x v="0"/>
    <m/>
    <m/>
  </r>
  <r>
    <n v="510220"/>
    <s v="MGSE detailed design analysis "/>
    <s v="A6"/>
    <x v="2"/>
    <x v="2"/>
    <m/>
    <x v="4"/>
    <s v="CH"/>
    <x v="0"/>
    <m/>
    <m/>
  </r>
  <r>
    <n v="510230"/>
    <s v="MGSE MAIT"/>
    <s v="A6"/>
    <x v="2"/>
    <x v="2"/>
    <m/>
    <x v="4"/>
    <s v="CH"/>
    <x v="0"/>
    <m/>
    <m/>
  </r>
  <r>
    <n v="520000"/>
    <s v="STM AI&amp;T"/>
    <s v="A5"/>
    <x v="2"/>
    <x v="1"/>
    <m/>
    <x v="1"/>
    <s v="CH"/>
    <x v="0"/>
    <m/>
    <m/>
  </r>
  <r>
    <n v="520100"/>
    <s v="STM dummies models design, production and shipment"/>
    <s v="A5"/>
    <x v="2"/>
    <x v="1"/>
    <m/>
    <x v="1"/>
    <s v="CH"/>
    <x v="0"/>
    <m/>
    <m/>
  </r>
  <r>
    <n v="520200"/>
    <s v="STM AI"/>
    <s v="A5"/>
    <x v="2"/>
    <x v="1"/>
    <m/>
    <x v="2"/>
    <s v="SE"/>
    <x v="0"/>
    <m/>
    <m/>
  </r>
  <r>
    <n v="520210"/>
    <s v="Structure preparation and integration"/>
    <s v="A5"/>
    <x v="2"/>
    <x v="1"/>
    <m/>
    <x v="4"/>
    <s v="CH"/>
    <x v="0"/>
    <m/>
    <m/>
  </r>
  <r>
    <n v="520220"/>
    <s v="Thermal preparation and integration"/>
    <s v="A5"/>
    <x v="2"/>
    <x v="1"/>
    <m/>
    <x v="4"/>
    <s v="CH"/>
    <x v="0"/>
    <m/>
    <m/>
  </r>
  <r>
    <n v="520230"/>
    <s v="Rendezvous payload preparation and integration"/>
    <s v="A5"/>
    <x v="2"/>
    <x v="1"/>
    <m/>
    <x v="1"/>
    <s v="CH"/>
    <x v="0"/>
    <m/>
    <m/>
  </r>
  <r>
    <n v="520300"/>
    <s v="STM V"/>
    <s v="A5"/>
    <x v="2"/>
    <x v="1"/>
    <m/>
    <x v="2"/>
    <s v="SE"/>
    <x v="0"/>
    <m/>
    <m/>
  </r>
  <r>
    <n v="530000"/>
    <s v="FlatSat AI&amp;T"/>
    <s v="A5"/>
    <x v="2"/>
    <x v="1"/>
    <m/>
    <x v="0"/>
    <m/>
    <x v="0"/>
    <m/>
    <m/>
  </r>
  <r>
    <n v="530100"/>
    <s v="EM FlatSat AI&amp;T"/>
    <s v="A5"/>
    <x v="2"/>
    <x v="1"/>
    <m/>
    <x v="0"/>
    <m/>
    <x v="0"/>
    <m/>
    <m/>
  </r>
  <r>
    <n v="530110"/>
    <s v="BB CDPI FlatSat integration and shipment"/>
    <s v="A5"/>
    <x v="2"/>
    <x v="1"/>
    <m/>
    <x v="3"/>
    <s v="DE"/>
    <x v="0"/>
    <m/>
    <m/>
  </r>
  <r>
    <n v="530200"/>
    <s v="PFM FlatSat AI&amp;T"/>
    <s v="A5"/>
    <x v="2"/>
    <x v="1"/>
    <m/>
    <x v="0"/>
    <m/>
    <x v="0"/>
    <m/>
    <m/>
  </r>
  <r>
    <n v="530210"/>
    <s v="FM CDPI FlatSat integration and shipment"/>
    <s v="A5"/>
    <x v="2"/>
    <x v="1"/>
    <m/>
    <x v="0"/>
    <m/>
    <x v="0"/>
    <m/>
    <m/>
  </r>
  <r>
    <n v="530220"/>
    <s v="End-to-end communication tests"/>
    <s v="A5"/>
    <x v="2"/>
    <x v="1"/>
    <m/>
    <x v="0"/>
    <m/>
    <x v="0"/>
    <m/>
    <m/>
  </r>
  <r>
    <n v="530300"/>
    <s v="RV payload integration"/>
    <s v="A5"/>
    <x v="2"/>
    <x v="1"/>
    <m/>
    <x v="0"/>
    <m/>
    <x v="0"/>
    <m/>
    <m/>
  </r>
  <r>
    <n v="540000"/>
    <s v="RV payload ground tests and validation"/>
    <s v="C3"/>
    <x v="3"/>
    <x v="4"/>
    <m/>
    <x v="0"/>
    <m/>
    <x v="0"/>
    <m/>
    <m/>
  </r>
  <r>
    <n v="540100"/>
    <s v="PIL/HIL tests"/>
    <s v="C3"/>
    <x v="3"/>
    <x v="4"/>
    <m/>
    <x v="0"/>
    <m/>
    <x v="0"/>
    <m/>
    <m/>
  </r>
  <r>
    <n v="540200"/>
    <s v="Sensor EPOS/GMV Robotic tests"/>
    <s v="C3"/>
    <x v="3"/>
    <x v="4"/>
    <m/>
    <x v="0"/>
    <m/>
    <x v="0"/>
    <m/>
    <m/>
  </r>
  <r>
    <n v="540300"/>
    <s v="Capture tests"/>
    <s v="C3"/>
    <x v="3"/>
    <x v="4"/>
    <m/>
    <x v="0"/>
    <m/>
    <x v="0"/>
    <m/>
    <m/>
  </r>
  <r>
    <n v="540400"/>
    <s v="Hardware qualification tests"/>
    <s v="C3"/>
    <x v="3"/>
    <x v="4"/>
    <m/>
    <x v="0"/>
    <m/>
    <x v="0"/>
    <m/>
    <m/>
  </r>
  <r>
    <n v="550000"/>
    <s v="System PFM AI&amp;V"/>
    <s v="A5"/>
    <x v="2"/>
    <x v="1"/>
    <m/>
    <x v="0"/>
    <m/>
    <x v="0"/>
    <m/>
    <m/>
  </r>
  <r>
    <n v="550100"/>
    <s v="PFM assembly, integration and tests"/>
    <s v="A5"/>
    <x v="2"/>
    <x v="1"/>
    <m/>
    <x v="2"/>
    <s v="SE"/>
    <x v="0"/>
    <m/>
    <m/>
  </r>
  <r>
    <n v="550200"/>
    <s v="PFM system environmental validation"/>
    <s v="A5"/>
    <x v="2"/>
    <x v="1"/>
    <m/>
    <x v="2"/>
    <s v="SE"/>
    <x v="0"/>
    <m/>
    <m/>
  </r>
  <r>
    <n v="550300"/>
    <s v="PFM AIV Support"/>
    <s v="A5"/>
    <x v="2"/>
    <x v="1"/>
    <m/>
    <x v="4"/>
    <s v="CH"/>
    <x v="0"/>
    <m/>
    <m/>
  </r>
  <r>
    <n v="550400"/>
    <s v="PFM Rendezvous payload AIV support"/>
    <s v="A5"/>
    <x v="2"/>
    <x v="1"/>
    <m/>
    <x v="1"/>
    <s v="CH"/>
    <x v="0"/>
    <m/>
    <m/>
  </r>
  <r>
    <n v="600000"/>
    <s v="Ground Segment"/>
    <m/>
    <x v="0"/>
    <x v="0"/>
    <m/>
    <x v="0"/>
    <m/>
    <x v="0"/>
    <m/>
    <m/>
  </r>
  <r>
    <n v="610000"/>
    <s v="Ground systems definition"/>
    <s v="E1"/>
    <x v="2"/>
    <x v="1"/>
    <m/>
    <x v="1"/>
    <s v="CH"/>
    <x v="0"/>
    <m/>
    <m/>
  </r>
  <r>
    <n v="610100"/>
    <s v="Ground systems requirements and definition"/>
    <s v="E1"/>
    <x v="2"/>
    <x v="1"/>
    <m/>
    <x v="0"/>
    <m/>
    <x v="0"/>
    <m/>
    <m/>
  </r>
  <r>
    <n v="610200"/>
    <s v="Ground systems design"/>
    <s v="E1"/>
    <x v="2"/>
    <x v="1"/>
    <m/>
    <x v="0"/>
    <m/>
    <x v="0"/>
    <m/>
    <m/>
  </r>
  <r>
    <n v="610300"/>
    <s v="Logistics support definition"/>
    <s v="E1"/>
    <x v="2"/>
    <x v="1"/>
    <m/>
    <x v="0"/>
    <m/>
    <x v="0"/>
    <m/>
    <m/>
  </r>
  <r>
    <n v="610400"/>
    <s v="Ground and space-to-ground communication design and costing"/>
    <s v="E1"/>
    <x v="2"/>
    <x v="1"/>
    <m/>
    <x v="0"/>
    <m/>
    <x v="0"/>
    <m/>
    <m/>
  </r>
  <r>
    <n v="620000"/>
    <s v="Ground systems production"/>
    <m/>
    <x v="0"/>
    <x v="0"/>
    <m/>
    <x v="0"/>
    <m/>
    <x v="0"/>
    <m/>
    <m/>
  </r>
  <r>
    <n v="620100"/>
    <s v="Ground stations preparation and operations"/>
    <s v="E4"/>
    <x v="2"/>
    <x v="2"/>
    <m/>
    <x v="1"/>
    <s v="CH"/>
    <x v="0"/>
    <m/>
    <m/>
  </r>
  <r>
    <n v="620200"/>
    <s v="Mission Control system"/>
    <m/>
    <x v="5"/>
    <x v="3"/>
    <m/>
    <x v="0"/>
    <m/>
    <x v="0"/>
    <m/>
    <m/>
  </r>
  <r>
    <n v="620210"/>
    <s v="PUS Service and packet definition"/>
    <m/>
    <x v="5"/>
    <x v="3"/>
    <m/>
    <x v="1"/>
    <s v="CH"/>
    <x v="0"/>
    <m/>
    <m/>
  </r>
  <r>
    <n v="620220"/>
    <s v="RAMSES Customization and deployment "/>
    <m/>
    <x v="5"/>
    <x v="3"/>
    <m/>
    <x v="2"/>
    <s v="SE"/>
    <x v="0"/>
    <m/>
    <m/>
  </r>
  <r>
    <n v="620230"/>
    <s v="Mission TM/TC database conversion"/>
    <m/>
    <x v="5"/>
    <x v="3"/>
    <m/>
    <x v="2"/>
    <s v="SE"/>
    <x v="0"/>
    <m/>
    <m/>
  </r>
  <r>
    <n v="620240"/>
    <s v="Mission Archives database"/>
    <m/>
    <x v="5"/>
    <x v="3"/>
    <m/>
    <x v="1"/>
    <s v="CH"/>
    <x v="0"/>
    <m/>
    <m/>
  </r>
  <r>
    <n v="620250"/>
    <s v="RV specific database"/>
    <m/>
    <x v="5"/>
    <x v="3"/>
    <m/>
    <x v="1"/>
    <s v="CH"/>
    <x v="0"/>
    <m/>
    <m/>
  </r>
  <r>
    <n v="620300"/>
    <s v="Mission management and data processing system"/>
    <m/>
    <x v="5"/>
    <x v="3"/>
    <m/>
    <x v="0"/>
    <m/>
    <x v="0"/>
    <m/>
    <m/>
  </r>
  <r>
    <n v="620310"/>
    <s v="Mission planning and scheduling"/>
    <m/>
    <x v="5"/>
    <x v="3"/>
    <m/>
    <x v="1"/>
    <s v="CH"/>
    <x v="0"/>
    <m/>
    <m/>
  </r>
  <r>
    <n v="620320"/>
    <s v="RV specific data processing tools implementation and verification"/>
    <m/>
    <x v="5"/>
    <x v="3"/>
    <m/>
    <x v="1"/>
    <s v="CH"/>
    <x v="0"/>
    <m/>
    <m/>
  </r>
  <r>
    <n v="620320"/>
    <s v="Preliminary design"/>
    <m/>
    <x v="5"/>
    <x v="3"/>
    <m/>
    <x v="0"/>
    <m/>
    <x v="0"/>
    <m/>
    <m/>
  </r>
  <r>
    <n v="620320"/>
    <s v="Detailed design and implementation"/>
    <m/>
    <x v="5"/>
    <x v="3"/>
    <m/>
    <x v="0"/>
    <m/>
    <x v="0"/>
    <m/>
    <m/>
  </r>
  <r>
    <n v="620320"/>
    <s v="Verification"/>
    <m/>
    <x v="5"/>
    <x v="3"/>
    <m/>
    <x v="0"/>
    <m/>
    <x v="0"/>
    <m/>
    <m/>
  </r>
  <r>
    <n v="620330"/>
    <s v="Flight dynamics software - detailed design, I&amp;T"/>
    <m/>
    <x v="5"/>
    <x v="3"/>
    <m/>
    <x v="1"/>
    <s v="CH"/>
    <x v="0"/>
    <m/>
    <m/>
  </r>
  <r>
    <n v="620331"/>
    <s v="Detailed design and implementation"/>
    <m/>
    <x v="5"/>
    <x v="3"/>
    <m/>
    <x v="0"/>
    <m/>
    <x v="0"/>
    <m/>
    <m/>
  </r>
  <r>
    <n v="620332"/>
    <s v="Verification and validation"/>
    <m/>
    <x v="5"/>
    <x v="3"/>
    <m/>
    <x v="0"/>
    <m/>
    <x v="0"/>
    <m/>
    <m/>
  </r>
  <r>
    <n v="620334"/>
    <s v="Support to flight dynamics software verification/validation"/>
    <m/>
    <x v="5"/>
    <x v="3"/>
    <m/>
    <x v="2"/>
    <s v="SE"/>
    <x v="0"/>
    <m/>
    <m/>
  </r>
  <r>
    <n v="620400"/>
    <s v="Communication system"/>
    <m/>
    <x v="5"/>
    <x v="3"/>
    <m/>
    <x v="1"/>
    <s v="CH"/>
    <x v="0"/>
    <m/>
    <m/>
  </r>
  <r>
    <n v="620410"/>
    <s v="Preliminary defintion"/>
    <m/>
    <x v="5"/>
    <x v="3"/>
    <m/>
    <x v="0"/>
    <m/>
    <x v="0"/>
    <m/>
    <m/>
  </r>
  <r>
    <n v="620420"/>
    <s v="Detailed definition and implementation"/>
    <m/>
    <x v="5"/>
    <x v="3"/>
    <m/>
    <x v="0"/>
    <m/>
    <x v="0"/>
    <m/>
    <m/>
  </r>
  <r>
    <n v="620500"/>
    <s v="Mission Operations Centers"/>
    <m/>
    <x v="5"/>
    <x v="3"/>
    <m/>
    <x v="0"/>
    <m/>
    <x v="0"/>
    <m/>
    <m/>
  </r>
  <r>
    <n v="620510"/>
    <s v="ClearSpace MOC"/>
    <m/>
    <x v="5"/>
    <x v="3"/>
    <m/>
    <x v="1"/>
    <s v="CH"/>
    <x v="0"/>
    <m/>
    <m/>
  </r>
  <r>
    <n v="620520"/>
    <s v="OHB support Centre"/>
    <m/>
    <x v="5"/>
    <x v="3"/>
    <m/>
    <x v="2"/>
    <s v="SE"/>
    <x v="0"/>
    <m/>
    <m/>
  </r>
  <r>
    <n v="630000"/>
    <s v="Ground systems AI&amp;V"/>
    <m/>
    <x v="5"/>
    <x v="3"/>
    <m/>
    <x v="0"/>
    <m/>
    <x v="0"/>
    <m/>
    <m/>
  </r>
  <r>
    <n v="630100"/>
    <s v="Systems AI&amp;T"/>
    <m/>
    <x v="5"/>
    <x v="3"/>
    <m/>
    <x v="0"/>
    <m/>
    <x v="0"/>
    <m/>
    <m/>
  </r>
  <r>
    <n v="630200"/>
    <s v="Segment AI&amp;V"/>
    <m/>
    <x v="5"/>
    <x v="3"/>
    <m/>
    <x v="0"/>
    <m/>
    <x v="0"/>
    <m/>
    <m/>
  </r>
  <r>
    <n v="630300"/>
    <s v="RAMSES Training for AI&amp;V"/>
    <m/>
    <x v="5"/>
    <x v="3"/>
    <m/>
    <x v="0"/>
    <m/>
    <x v="0"/>
    <m/>
    <m/>
  </r>
  <r>
    <n v="640000"/>
    <s v="Ground systems maintenance and disposal"/>
    <m/>
    <x v="5"/>
    <x v="3"/>
    <m/>
    <x v="0"/>
    <m/>
    <x v="0"/>
    <m/>
    <m/>
  </r>
  <r>
    <n v="640100"/>
    <s v="Maintenance"/>
    <m/>
    <x v="5"/>
    <x v="3"/>
    <m/>
    <x v="1"/>
    <s v="CH"/>
    <x v="0"/>
    <m/>
    <m/>
  </r>
  <r>
    <n v="640110"/>
    <s v="RAMSES maintenance"/>
    <m/>
    <x v="5"/>
    <x v="3"/>
    <m/>
    <x v="2"/>
    <s v="SE"/>
    <x v="0"/>
    <m/>
    <m/>
  </r>
  <r>
    <n v="640200"/>
    <s v="Disposal"/>
    <m/>
    <x v="5"/>
    <x v="3"/>
    <m/>
    <x v="1"/>
    <s v="CH"/>
    <x v="0"/>
    <m/>
    <m/>
  </r>
  <r>
    <n v="650000"/>
    <s v="Ground Observations"/>
    <s v="E3"/>
    <x v="4"/>
    <x v="1"/>
    <m/>
    <x v="0"/>
    <m/>
    <x v="0"/>
    <m/>
    <m/>
  </r>
  <r>
    <n v="650100"/>
    <s v="Target precise orbit position determination"/>
    <s v="E3"/>
    <x v="4"/>
    <x v="1"/>
    <m/>
    <x v="8"/>
    <s v="CH"/>
    <x v="0"/>
    <m/>
    <m/>
  </r>
  <r>
    <n v="650200"/>
    <s v="Target precise attitude determination"/>
    <s v="E3"/>
    <x v="4"/>
    <x v="1"/>
    <m/>
    <x v="8"/>
    <s v="CH"/>
    <x v="0"/>
    <m/>
    <m/>
  </r>
  <r>
    <n v="650300"/>
    <s v="VESPUP operations support"/>
    <s v="E3"/>
    <x v="4"/>
    <x v="1"/>
    <m/>
    <x v="8"/>
    <s v="CH"/>
    <x v="0"/>
    <m/>
    <m/>
  </r>
  <r>
    <n v="650400"/>
    <s v="Space debris collission avoidance support"/>
    <s v="E3"/>
    <x v="4"/>
    <x v="1"/>
    <m/>
    <x v="0"/>
    <m/>
    <x v="0"/>
    <m/>
    <m/>
  </r>
  <r>
    <n v="700000"/>
    <s v="Mission Operations"/>
    <m/>
    <x v="0"/>
    <x v="0"/>
    <m/>
    <x v="0"/>
    <m/>
    <x v="0"/>
    <m/>
    <m/>
  </r>
  <r>
    <n v="710000"/>
    <s v="Operations engineering"/>
    <s v="E2"/>
    <x v="2"/>
    <x v="1"/>
    <m/>
    <x v="0"/>
    <m/>
    <x v="0"/>
    <m/>
    <m/>
  </r>
  <r>
    <n v="710100"/>
    <s v="Flight direction"/>
    <s v="E2"/>
    <x v="2"/>
    <x v="1"/>
    <m/>
    <x v="0"/>
    <m/>
    <x v="0"/>
    <m/>
    <m/>
  </r>
  <r>
    <n v="710200"/>
    <s v="Configuration management"/>
    <s v="E2"/>
    <x v="2"/>
    <x v="1"/>
    <m/>
    <x v="1"/>
    <s v="CH"/>
    <x v="0"/>
    <m/>
    <m/>
  </r>
  <r>
    <n v="720000"/>
    <s v="Preparation activities"/>
    <m/>
    <x v="5"/>
    <x v="3"/>
    <m/>
    <x v="0"/>
    <m/>
    <x v="0"/>
    <m/>
    <m/>
  </r>
  <r>
    <n v="720100"/>
    <s v="Operations data production"/>
    <m/>
    <x v="5"/>
    <x v="3"/>
    <m/>
    <x v="1"/>
    <s v="CH"/>
    <x v="0"/>
    <m/>
    <m/>
  </r>
  <r>
    <n v="720110"/>
    <s v="Flight Operation procedures support"/>
    <m/>
    <x v="5"/>
    <x v="3"/>
    <m/>
    <x v="2"/>
    <s v="SE"/>
    <x v="0"/>
    <m/>
    <m/>
  </r>
  <r>
    <n v="720200"/>
    <s v="Operations data validation, scenario testing"/>
    <m/>
    <x v="5"/>
    <x v="3"/>
    <m/>
    <x v="1"/>
    <s v="CH"/>
    <x v="0"/>
    <m/>
    <m/>
  </r>
  <r>
    <n v="720300"/>
    <s v="Training"/>
    <m/>
    <x v="5"/>
    <x v="3"/>
    <m/>
    <x v="0"/>
    <m/>
    <x v="0"/>
    <m/>
    <m/>
  </r>
  <r>
    <n v="720310"/>
    <s v="RAMSES Training"/>
    <m/>
    <x v="5"/>
    <x v="3"/>
    <m/>
    <x v="2"/>
    <s v="SE"/>
    <x v="0"/>
    <m/>
    <m/>
  </r>
  <r>
    <n v="730000"/>
    <s v="Pre-launch activities"/>
    <m/>
    <x v="5"/>
    <x v="3"/>
    <m/>
    <x v="0"/>
    <m/>
    <x v="0"/>
    <m/>
    <m/>
  </r>
  <r>
    <n v="730100"/>
    <s v="Satellite shipping and launch site check out and preparation (FRR)"/>
    <m/>
    <x v="5"/>
    <x v="3"/>
    <m/>
    <x v="2"/>
    <s v="SE"/>
    <x v="0"/>
    <m/>
    <m/>
  </r>
  <r>
    <n v="730200"/>
    <s v="Satellite check-up and preparation"/>
    <m/>
    <x v="5"/>
    <x v="3"/>
    <m/>
    <x v="1"/>
    <s v="CH"/>
    <x v="0"/>
    <m/>
    <m/>
  </r>
  <r>
    <n v="740000"/>
    <s v="Operations execution activities"/>
    <m/>
    <x v="5"/>
    <x v="3"/>
    <m/>
    <x v="0"/>
    <m/>
    <x v="0"/>
    <m/>
    <m/>
  </r>
  <r>
    <n v="740100"/>
    <s v="FSw operations upgrades and maintenance"/>
    <m/>
    <x v="5"/>
    <x v="3"/>
    <m/>
    <x v="0"/>
    <m/>
    <x v="0"/>
    <m/>
    <m/>
  </r>
  <r>
    <n v="740200"/>
    <s v="LEOP and commissioning"/>
    <m/>
    <x v="5"/>
    <x v="3"/>
    <m/>
    <x v="1"/>
    <s v="CH"/>
    <x v="0"/>
    <m/>
    <m/>
  </r>
  <r>
    <n v="740210"/>
    <s v="Mission planning"/>
    <m/>
    <x v="5"/>
    <x v="3"/>
    <m/>
    <x v="0"/>
    <m/>
    <x v="0"/>
    <m/>
    <m/>
  </r>
  <r>
    <n v="740220"/>
    <s v="Satellite operations"/>
    <m/>
    <x v="5"/>
    <x v="3"/>
    <m/>
    <x v="0"/>
    <m/>
    <x v="0"/>
    <m/>
    <m/>
  </r>
  <r>
    <n v="740221"/>
    <s v="OHB-Sweden On-site support"/>
    <m/>
    <x v="5"/>
    <x v="3"/>
    <m/>
    <x v="2"/>
    <s v="SE"/>
    <x v="0"/>
    <m/>
    <m/>
  </r>
  <r>
    <n v="740230"/>
    <s v="Flight dynamics"/>
    <m/>
    <x v="5"/>
    <x v="3"/>
    <m/>
    <x v="0"/>
    <m/>
    <x v="0"/>
    <m/>
    <m/>
  </r>
  <r>
    <n v="740240"/>
    <s v="Experts"/>
    <m/>
    <x v="5"/>
    <x v="3"/>
    <m/>
    <x v="0"/>
    <m/>
    <x v="0"/>
    <m/>
    <m/>
  </r>
  <r>
    <n v="740300"/>
    <s v="Routine operations"/>
    <m/>
    <x v="5"/>
    <x v="3"/>
    <m/>
    <x v="1"/>
    <s v="CH"/>
    <x v="0"/>
    <m/>
    <m/>
  </r>
  <r>
    <n v="740310"/>
    <s v="Mission planning"/>
    <m/>
    <x v="5"/>
    <x v="3"/>
    <m/>
    <x v="0"/>
    <m/>
    <x v="0"/>
    <m/>
    <m/>
  </r>
  <r>
    <n v="740320"/>
    <s v="Satellite operations"/>
    <m/>
    <x v="5"/>
    <x v="3"/>
    <m/>
    <x v="0"/>
    <m/>
    <x v="0"/>
    <m/>
    <m/>
  </r>
  <r>
    <n v="740321"/>
    <s v="OHB-Sweden Off-site support"/>
    <m/>
    <x v="5"/>
    <x v="3"/>
    <m/>
    <x v="2"/>
    <s v="SE"/>
    <x v="0"/>
    <m/>
    <m/>
  </r>
  <r>
    <n v="740330"/>
    <s v="Flight dynamics"/>
    <m/>
    <x v="5"/>
    <x v="3"/>
    <m/>
    <x v="0"/>
    <m/>
    <x v="0"/>
    <m/>
    <m/>
  </r>
  <r>
    <n v="740340"/>
    <s v="Experts"/>
    <m/>
    <x v="5"/>
    <x v="3"/>
    <m/>
    <x v="0"/>
    <m/>
    <x v="0"/>
    <m/>
    <m/>
  </r>
  <r>
    <n v="740400"/>
    <s v="Critical operations"/>
    <m/>
    <x v="5"/>
    <x v="3"/>
    <m/>
    <x v="0"/>
    <m/>
    <x v="0"/>
    <m/>
    <m/>
  </r>
  <r>
    <n v="740410"/>
    <s v="Mission planning"/>
    <m/>
    <x v="5"/>
    <x v="3"/>
    <m/>
    <x v="0"/>
    <m/>
    <x v="0"/>
    <m/>
    <m/>
  </r>
  <r>
    <n v="740420"/>
    <s v="Satellite operations"/>
    <m/>
    <x v="5"/>
    <x v="3"/>
    <m/>
    <x v="0"/>
    <m/>
    <x v="0"/>
    <m/>
    <m/>
  </r>
  <r>
    <n v="740421"/>
    <s v="OHB-Sweden On-site support"/>
    <m/>
    <x v="5"/>
    <x v="3"/>
    <m/>
    <x v="2"/>
    <s v="SE"/>
    <x v="0"/>
    <m/>
    <m/>
  </r>
  <r>
    <n v="740430"/>
    <s v="Flight dynamics"/>
    <m/>
    <x v="5"/>
    <x v="3"/>
    <m/>
    <x v="0"/>
    <m/>
    <x v="0"/>
    <m/>
    <m/>
  </r>
  <r>
    <n v="740440"/>
    <s v="Experts"/>
    <m/>
    <x v="5"/>
    <x v="3"/>
    <m/>
    <x v="0"/>
    <m/>
    <x v="0"/>
    <m/>
    <m/>
  </r>
  <r>
    <n v="740500"/>
    <s v="Disposal operations"/>
    <m/>
    <x v="5"/>
    <x v="3"/>
    <m/>
    <x v="0"/>
    <m/>
    <x v="0"/>
    <m/>
    <m/>
  </r>
  <r>
    <n v="740510"/>
    <s v="Mission planning"/>
    <m/>
    <x v="5"/>
    <x v="3"/>
    <m/>
    <x v="0"/>
    <m/>
    <x v="0"/>
    <m/>
    <m/>
  </r>
  <r>
    <n v="740520"/>
    <s v="Satellite operations"/>
    <m/>
    <x v="5"/>
    <x v="3"/>
    <m/>
    <x v="0"/>
    <m/>
    <x v="0"/>
    <m/>
    <m/>
  </r>
  <r>
    <n v="740521"/>
    <s v="OHB-Sweden On-site support"/>
    <m/>
    <x v="5"/>
    <x v="3"/>
    <m/>
    <x v="2"/>
    <s v="SE"/>
    <x v="0"/>
    <m/>
    <m/>
  </r>
  <r>
    <n v="740530"/>
    <s v="Flight dynamics"/>
    <m/>
    <x v="5"/>
    <x v="3"/>
    <m/>
    <x v="0"/>
    <m/>
    <x v="0"/>
    <m/>
    <m/>
  </r>
  <r>
    <n v="740540"/>
    <s v="Experts"/>
    <m/>
    <x v="5"/>
    <x v="3"/>
    <m/>
    <x v="0"/>
    <m/>
    <x v="0"/>
    <m/>
    <m/>
  </r>
  <r>
    <n v="750000"/>
    <s v="Mission Data Analyses"/>
    <m/>
    <x v="5"/>
    <x v="3"/>
    <m/>
    <x v="0"/>
    <m/>
    <x v="0"/>
    <m/>
    <m/>
  </r>
  <r>
    <n v="750000"/>
    <s v="GNC data analyses"/>
    <m/>
    <x v="5"/>
    <x v="3"/>
    <m/>
    <x v="0"/>
    <m/>
    <x v="0"/>
    <m/>
    <m/>
  </r>
  <r>
    <n v="750000"/>
    <s v="Capture system data analyses"/>
    <m/>
    <x v="5"/>
    <x v="3"/>
    <m/>
    <x v="0"/>
    <m/>
    <x v="0"/>
    <m/>
    <m/>
  </r>
  <r>
    <m/>
    <s v="Contingency CH"/>
    <m/>
    <x v="0"/>
    <x v="0"/>
    <m/>
    <x v="0"/>
    <m/>
    <x v="0"/>
    <m/>
    <m/>
  </r>
  <r>
    <m/>
    <s v="Contingency OHB"/>
    <m/>
    <x v="0"/>
    <x v="0"/>
    <m/>
    <x v="0"/>
    <m/>
    <x v="0"/>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PivotTable2" cacheId="0" applyNumberFormats="0" applyBorderFormats="0" applyFontFormats="0" applyPatternFormats="0" applyAlignmentFormats="0" applyWidthHeightFormats="1" dataCaption="Values" updatedVersion="6" minRefreshableVersion="3" useAutoFormatting="1" colGrandTotals="0" itemPrintTitles="1" createdVersion="6" indent="0" outline="1" outlineData="1" multipleFieldFilters="0">
  <location ref="L3:Q7" firstHeaderRow="1" firstDataRow="2" firstDataCol="1"/>
  <pivotFields count="11">
    <pivotField showAll="0"/>
    <pivotField showAll="0"/>
    <pivotField showAll="0"/>
    <pivotField axis="axisRow" showAll="0">
      <items count="7">
        <item x="3"/>
        <item sd="0" x="1"/>
        <item sd="0" x="2"/>
        <item x="4"/>
        <item x="5"/>
        <item x="0"/>
        <item t="default"/>
      </items>
    </pivotField>
    <pivotField showAll="0"/>
    <pivotField showAll="0"/>
    <pivotField axis="axisRow" showAll="0">
      <items count="12">
        <item x="3"/>
        <item x="8"/>
        <item x="4"/>
        <item x="1"/>
        <item x="7"/>
        <item x="2"/>
        <item x="9"/>
        <item x="6"/>
        <item x="5"/>
        <item x="10"/>
        <item x="0"/>
        <item t="default"/>
      </items>
    </pivotField>
    <pivotField showAll="0"/>
    <pivotField axis="axisCol" showAll="0">
      <items count="7">
        <item x="1"/>
        <item x="2"/>
        <item x="3"/>
        <item x="4"/>
        <item x="5"/>
        <item h="1" x="0"/>
        <item t="default"/>
      </items>
    </pivotField>
    <pivotField showAll="0"/>
    <pivotField dataField="1" showAll="0"/>
  </pivotFields>
  <rowFields count="2">
    <field x="3"/>
    <field x="6"/>
  </rowFields>
  <rowItems count="3">
    <i>
      <x v="1"/>
    </i>
    <i>
      <x v="2"/>
    </i>
    <i t="grand">
      <x/>
    </i>
  </rowItems>
  <colFields count="1">
    <field x="8"/>
  </colFields>
  <colItems count="5">
    <i>
      <x/>
    </i>
    <i>
      <x v="1"/>
    </i>
    <i>
      <x v="2"/>
    </i>
    <i>
      <x v="3"/>
    </i>
    <i>
      <x v="4"/>
    </i>
  </colItems>
  <dataFields count="1">
    <dataField name="Sum of FTE" fld="10" baseField="0" baseItem="0" numFmtId="165"/>
  </dataFields>
  <pivotTableStyleInfo name="PivotStyleLight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G9" firstHeaderRow="1" firstDataRow="2" firstDataCol="1" rowPageCount="1" colPageCount="1"/>
  <pivotFields count="11">
    <pivotField showAll="0"/>
    <pivotField showAll="0"/>
    <pivotField showAll="0"/>
    <pivotField axis="axisRow" showAll="0">
      <items count="7">
        <item x="3"/>
        <item x="1"/>
        <item x="2"/>
        <item x="4"/>
        <item x="5"/>
        <item x="0"/>
        <item t="default"/>
      </items>
    </pivotField>
    <pivotField axis="axisRow" showAll="0">
      <items count="6">
        <item x="4"/>
        <item sd="0" x="1"/>
        <item x="2"/>
        <item x="3"/>
        <item x="0"/>
        <item t="default"/>
      </items>
    </pivotField>
    <pivotField showAll="0"/>
    <pivotField axis="axisPage" showAll="0">
      <items count="12">
        <item x="3"/>
        <item x="8"/>
        <item x="4"/>
        <item x="1"/>
        <item x="7"/>
        <item x="2"/>
        <item x="9"/>
        <item x="6"/>
        <item x="5"/>
        <item x="10"/>
        <item x="0"/>
        <item t="default"/>
      </items>
    </pivotField>
    <pivotField showAll="0"/>
    <pivotField axis="axisCol" showAll="0">
      <items count="7">
        <item x="1"/>
        <item x="2"/>
        <item x="3"/>
        <item x="4"/>
        <item x="5"/>
        <item h="1" x="0"/>
        <item t="default"/>
      </items>
    </pivotField>
    <pivotField dataField="1" showAll="0"/>
    <pivotField showAll="0"/>
  </pivotFields>
  <rowFields count="2">
    <field x="3"/>
    <field x="4"/>
  </rowFields>
  <rowItems count="5">
    <i>
      <x v="1"/>
    </i>
    <i r="1">
      <x v="1"/>
    </i>
    <i>
      <x v="2"/>
    </i>
    <i r="1">
      <x v="1"/>
    </i>
    <i t="grand">
      <x/>
    </i>
  </rowItems>
  <colFields count="1">
    <field x="8"/>
  </colFields>
  <colItems count="6">
    <i>
      <x/>
    </i>
    <i>
      <x v="1"/>
    </i>
    <i>
      <x v="2"/>
    </i>
    <i>
      <x v="3"/>
    </i>
    <i>
      <x v="4"/>
    </i>
    <i t="grand">
      <x/>
    </i>
  </colItems>
  <pageFields count="1">
    <pageField fld="6" hier="-1"/>
  </pageFields>
  <dataFields count="1">
    <dataField name="Sum of AMT KEUR" fld="9" baseField="0" baseItem="0" numFmtId="172"/>
  </dataFields>
  <pivotTableStyleInfo name="PivotStyleLight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E000000}" name="Table21" displayName="Table21" ref="A2:C6" totalsRowShown="0">
  <autoFilter ref="A2:C6" xr:uid="{00000000-0009-0000-0100-000015000000}"/>
  <tableColumns count="3">
    <tableColumn id="1" xr3:uid="{00000000-0010-0000-0E00-000001000000}" name="Parameter"/>
    <tableColumn id="2" xr3:uid="{00000000-0010-0000-0E00-000002000000}" name="Value "/>
    <tableColumn id="3" xr3:uid="{00000000-0010-0000-0E00-000003000000}" name="Uni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F000000}" name="Table23" displayName="Table23" ref="A16:C22" totalsRowShown="0">
  <autoFilter ref="A16:C22" xr:uid="{00000000-0009-0000-0100-000016000000}"/>
  <tableColumns count="3">
    <tableColumn id="1" xr3:uid="{00000000-0010-0000-0F00-000001000000}" name="Parameter"/>
    <tableColumn id="2" xr3:uid="{00000000-0010-0000-0F00-000002000000}" name="Value"/>
    <tableColumn id="3" xr3:uid="{00000000-0010-0000-0F00-000003000000}" name="Uni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0000000}" name="Table24" displayName="Table24" ref="F2:H6" totalsRowShown="0">
  <autoFilter ref="F2:H6" xr:uid="{00000000-0009-0000-0100-000017000000}"/>
  <tableColumns count="3">
    <tableColumn id="1" xr3:uid="{00000000-0010-0000-1000-000001000000}" name="Parameter"/>
    <tableColumn id="2" xr3:uid="{00000000-0010-0000-1000-000002000000}" name=" Value" dataDxfId="14"/>
    <tableColumn id="3" xr3:uid="{00000000-0010-0000-1000-000003000000}" name="Uni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1000000}" name="Table25" displayName="Table25" ref="A3:D38" totalsRowShown="0">
  <autoFilter ref="A3:D38" xr:uid="{00000000-0009-0000-0100-000018000000}"/>
  <tableColumns count="4">
    <tableColumn id="1" xr3:uid="{00000000-0010-0000-1100-000001000000}" name="Parameter"/>
    <tableColumn id="2" xr3:uid="{00000000-0010-0000-1100-000002000000}" name="Value" dataDxfId="13"/>
    <tableColumn id="3" xr3:uid="{00000000-0010-0000-1100-000003000000}" name="Unit"/>
    <tableColumn id="4" xr3:uid="{00000000-0010-0000-1100-000004000000}" name="Note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2000000}" name="Table26" displayName="Table26" ref="A44:D81" totalsRowShown="0">
  <autoFilter ref="A44:D81" xr:uid="{00000000-0009-0000-0100-000019000000}"/>
  <tableColumns count="4">
    <tableColumn id="1" xr3:uid="{00000000-0010-0000-1200-000001000000}" name="Parameter"/>
    <tableColumn id="2" xr3:uid="{00000000-0010-0000-1200-000002000000}" name="LowRate" dataDxfId="12"/>
    <tableColumn id="3" xr3:uid="{00000000-0010-0000-1200-000003000000}" name="Unit"/>
    <tableColumn id="4" xr3:uid="{00000000-0010-0000-1200-000004000000}" name="Note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C8FAA49-B35C-4E28-AD90-1936548FE753}" name="Table265" displayName="Table265" ref="A89:D127" totalsRowShown="0">
  <autoFilter ref="A89:D127" xr:uid="{7C8FAA49-B35C-4E28-AD90-1936548FE753}"/>
  <tableColumns count="4">
    <tableColumn id="1" xr3:uid="{7107F0C7-D44A-451F-9169-E2A525DF50EC}" name="Parameter"/>
    <tableColumn id="2" xr3:uid="{8B078ECA-654D-4A58-8C1A-30C9066BA417}" name="LowRate" dataDxfId="11"/>
    <tableColumn id="3" xr3:uid="{1B6FA0DE-494A-4466-82A4-611BFB519B23}" name="Unit"/>
    <tableColumn id="4" xr3:uid="{4A055D7D-B52E-450B-8C62-B2424455A5AD}" name="Note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B2BE9FF-7AC0-469F-80A5-2A94F00F4FAF}" name="Table2518" displayName="Table2518" ref="A3:D38" totalsRowShown="0">
  <autoFilter ref="A3:D38" xr:uid="{BB2BE9FF-7AC0-469F-80A5-2A94F00F4FAF}"/>
  <tableColumns count="4">
    <tableColumn id="1" xr3:uid="{275A9C62-B923-48E9-B5D5-C9988240B2DD}" name="Parameter"/>
    <tableColumn id="2" xr3:uid="{A15DF34A-7BD2-4A3B-88B2-FE78A224EBAD}" name="Value" dataDxfId="10"/>
    <tableColumn id="3" xr3:uid="{1FC1EF05-3BF6-44D9-A28C-0493AA55C386}" name="Unit"/>
    <tableColumn id="4" xr3:uid="{878D4EA4-7E94-41F5-BBAA-13A546D7293B}" name="Notes"/>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D02B1F0-4955-48B9-8BD4-E71EED81B848}" name="Table2619" displayName="Table2619" ref="A42:D78" totalsRowShown="0">
  <autoFilter ref="A42:D78" xr:uid="{5D02B1F0-4955-48B9-8BD4-E71EED81B848}"/>
  <tableColumns count="4">
    <tableColumn id="1" xr3:uid="{3E5853E0-A1EF-4D11-910B-159AC3C79518}" name="Parameter"/>
    <tableColumn id="2" xr3:uid="{3724695E-D260-45A9-8A1A-43516240DEC0}" name="LowRate" dataDxfId="9"/>
    <tableColumn id="3" xr3:uid="{89471489-E48C-4CD3-940E-792049F588F8}" name="Unit"/>
    <tableColumn id="4" xr3:uid="{F4AB9F4A-74C1-4298-982B-E6AB4A608045}" name="Notes"/>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2B65EAD-263A-4548-B4AA-9EE2C3D7B11A}" name="Table261920" displayName="Table261920" ref="A88:D124" totalsRowShown="0">
  <autoFilter ref="A88:D124" xr:uid="{A2B65EAD-263A-4548-B4AA-9EE2C3D7B11A}"/>
  <tableColumns count="4">
    <tableColumn id="1" xr3:uid="{118142B8-CE3F-4ABE-9070-D7D6C5ED7822}" name="Parameter"/>
    <tableColumn id="2" xr3:uid="{5BFCFEE1-C4B7-4A75-9C5D-43BDD5CB393D}" name="LowRate" dataDxfId="8"/>
    <tableColumn id="3" xr3:uid="{471B90BF-2D3D-4C97-B5EB-208452702B3F}" name="Unit"/>
    <tableColumn id="4" xr3:uid="{D1DE4802-0FBB-44B4-A56E-4F0A501F94C3}" name="Notes"/>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2.bin"/><Relationship Id="rId4" Type="http://schemas.openxmlformats.org/officeDocument/2006/relationships/table" Target="../tables/table6.xml"/></Relationships>
</file>

<file path=xl/worksheets/_rels/sheet5.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table" Target="../tables/table7.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
  <sheetViews>
    <sheetView zoomScale="130" zoomScaleNormal="130" workbookViewId="0">
      <selection activeCell="D11" sqref="D11"/>
    </sheetView>
  </sheetViews>
  <sheetFormatPr defaultColWidth="11.42578125" defaultRowHeight="15"/>
  <cols>
    <col min="1" max="1" width="14.7109375" bestFit="1" customWidth="1"/>
    <col min="2" max="2" width="14.85546875" bestFit="1" customWidth="1"/>
    <col min="3" max="5" width="7.140625" bestFit="1" customWidth="1"/>
    <col min="6" max="6" width="5.7109375" bestFit="1" customWidth="1"/>
    <col min="7" max="7" width="10" bestFit="1" customWidth="1"/>
    <col min="8" max="8" width="3.7109375" bestFit="1" customWidth="1"/>
    <col min="9" max="9" width="2.140625" bestFit="1" customWidth="1"/>
    <col min="10" max="10" width="2.28515625" bestFit="1" customWidth="1"/>
    <col min="11" max="11" width="3.7109375" bestFit="1" customWidth="1"/>
    <col min="12" max="12" width="12.140625" bestFit="1" customWidth="1"/>
    <col min="13" max="13" width="14.85546875" bestFit="1" customWidth="1"/>
    <col min="14" max="14" width="3.7109375" bestFit="1" customWidth="1"/>
    <col min="15" max="15" width="4.7109375" bestFit="1" customWidth="1"/>
    <col min="16" max="17" width="3.7109375" bestFit="1" customWidth="1"/>
    <col min="18" max="18" width="10" bestFit="1" customWidth="1"/>
    <col min="19" max="19" width="3.7109375" bestFit="1" customWidth="1"/>
    <col min="20" max="20" width="4.7109375" bestFit="1" customWidth="1"/>
    <col min="21" max="22" width="3.7109375" bestFit="1" customWidth="1"/>
    <col min="23" max="23" width="19" bestFit="1" customWidth="1"/>
    <col min="24" max="24" width="13.28515625" bestFit="1" customWidth="1"/>
  </cols>
  <sheetData>
    <row r="1" spans="1:17">
      <c r="A1" s="351" t="s">
        <v>0</v>
      </c>
      <c r="B1" t="s">
        <v>1</v>
      </c>
    </row>
    <row r="3" spans="1:17">
      <c r="A3" s="351" t="s">
        <v>2</v>
      </c>
      <c r="B3" s="351" t="s">
        <v>3</v>
      </c>
      <c r="L3" s="351" t="s">
        <v>4</v>
      </c>
      <c r="M3" s="351" t="s">
        <v>3</v>
      </c>
    </row>
    <row r="4" spans="1:17">
      <c r="A4" s="351" t="s">
        <v>5</v>
      </c>
      <c r="B4" t="s">
        <v>6</v>
      </c>
      <c r="C4" t="s">
        <v>7</v>
      </c>
      <c r="D4" t="s">
        <v>8</v>
      </c>
      <c r="E4" t="s">
        <v>9</v>
      </c>
      <c r="F4" t="s">
        <v>10</v>
      </c>
      <c r="G4" t="s">
        <v>11</v>
      </c>
      <c r="L4" s="351" t="s">
        <v>5</v>
      </c>
      <c r="M4" t="s">
        <v>6</v>
      </c>
      <c r="N4" t="s">
        <v>7</v>
      </c>
      <c r="O4" t="s">
        <v>8</v>
      </c>
      <c r="P4" t="s">
        <v>9</v>
      </c>
      <c r="Q4" t="s">
        <v>10</v>
      </c>
    </row>
    <row r="5" spans="1:17">
      <c r="A5" s="36" t="s">
        <v>12</v>
      </c>
      <c r="B5" s="353">
        <v>117.0917714040492</v>
      </c>
      <c r="C5" s="353">
        <v>655.81688111658104</v>
      </c>
      <c r="D5" s="353">
        <v>811.93924298864658</v>
      </c>
      <c r="E5" s="353">
        <v>1311.6337622331619</v>
      </c>
      <c r="F5" s="353">
        <v>140.58734662528809</v>
      </c>
      <c r="G5" s="353">
        <v>3037.0690043677268</v>
      </c>
      <c r="L5" s="36" t="s">
        <v>12</v>
      </c>
      <c r="M5" s="93">
        <v>1.6333333333333333</v>
      </c>
      <c r="N5" s="93">
        <v>2.7</v>
      </c>
      <c r="O5" s="93">
        <v>5</v>
      </c>
      <c r="P5" s="93">
        <v>4</v>
      </c>
      <c r="Q5" s="93">
        <v>0.5</v>
      </c>
    </row>
    <row r="6" spans="1:17">
      <c r="A6" s="352" t="s">
        <v>13</v>
      </c>
      <c r="B6" s="353">
        <v>117.0917714040492</v>
      </c>
      <c r="C6" s="353">
        <v>655.81688111658104</v>
      </c>
      <c r="D6" s="353">
        <v>811.93924298864658</v>
      </c>
      <c r="E6" s="353">
        <v>1311.6337622331619</v>
      </c>
      <c r="F6" s="353">
        <v>140.58734662528809</v>
      </c>
      <c r="G6" s="353">
        <v>3037.0690043677268</v>
      </c>
      <c r="L6" s="36" t="s">
        <v>14</v>
      </c>
      <c r="M6" s="93">
        <v>4.5</v>
      </c>
      <c r="N6" s="93">
        <v>4.8999999999999995</v>
      </c>
      <c r="O6" s="93">
        <v>8.5</v>
      </c>
      <c r="P6" s="93">
        <v>5.5</v>
      </c>
      <c r="Q6" s="93">
        <v>0.4</v>
      </c>
    </row>
    <row r="7" spans="1:17">
      <c r="A7" s="36" t="s">
        <v>14</v>
      </c>
      <c r="B7" s="353">
        <v>540.16277982656584</v>
      </c>
      <c r="C7" s="353">
        <v>1163.6079795272176</v>
      </c>
      <c r="D7" s="353">
        <v>1304.0666245851239</v>
      </c>
      <c r="E7" s="353">
        <v>1759.1158920971463</v>
      </c>
      <c r="F7" s="353">
        <v>93.673417123239375</v>
      </c>
      <c r="G7" s="353">
        <v>4860.6266931592927</v>
      </c>
      <c r="L7" s="36" t="s">
        <v>11</v>
      </c>
      <c r="M7" s="93">
        <v>6.1333333333333329</v>
      </c>
      <c r="N7" s="93">
        <v>7.6</v>
      </c>
      <c r="O7" s="93">
        <v>13.5</v>
      </c>
      <c r="P7" s="93">
        <v>9.5</v>
      </c>
      <c r="Q7" s="93">
        <v>0.9</v>
      </c>
    </row>
    <row r="8" spans="1:17">
      <c r="A8" s="352" t="s">
        <v>13</v>
      </c>
      <c r="B8" s="353">
        <v>540.16277982656584</v>
      </c>
      <c r="C8" s="353">
        <v>1163.6079795272176</v>
      </c>
      <c r="D8" s="353">
        <v>1304.0666245851239</v>
      </c>
      <c r="E8" s="353">
        <v>1759.1158920971463</v>
      </c>
      <c r="F8" s="353">
        <v>93.673417123239375</v>
      </c>
      <c r="G8" s="353">
        <v>4860.6266931592927</v>
      </c>
    </row>
    <row r="9" spans="1:17">
      <c r="A9" s="36" t="s">
        <v>11</v>
      </c>
      <c r="B9" s="353">
        <v>657.25455123061499</v>
      </c>
      <c r="C9" s="353">
        <v>1819.4248606437986</v>
      </c>
      <c r="D9" s="353">
        <v>2116.0058675737705</v>
      </c>
      <c r="E9" s="353">
        <v>3070.7496543303082</v>
      </c>
      <c r="F9" s="353">
        <v>234.26076374852747</v>
      </c>
      <c r="G9" s="353">
        <v>7897.6956975270195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499984740745262"/>
  </sheetPr>
  <dimension ref="A1:T32"/>
  <sheetViews>
    <sheetView zoomScale="120" zoomScaleNormal="120" workbookViewId="0">
      <selection activeCell="AR78" sqref="AR78"/>
    </sheetView>
  </sheetViews>
  <sheetFormatPr defaultColWidth="11.42578125" defaultRowHeight="15"/>
  <cols>
    <col min="3" max="3" width="24.7109375" customWidth="1"/>
    <col min="5" max="5" width="15" customWidth="1"/>
    <col min="13" max="13" width="17.85546875" customWidth="1"/>
  </cols>
  <sheetData>
    <row r="1" spans="1:11">
      <c r="C1" t="s">
        <v>737</v>
      </c>
      <c r="E1" t="s">
        <v>738</v>
      </c>
      <c r="F1">
        <v>1.1200000000000001</v>
      </c>
    </row>
    <row r="2" spans="1:11">
      <c r="C2" t="s">
        <v>739</v>
      </c>
      <c r="E2" s="300">
        <v>43862</v>
      </c>
      <c r="F2" s="300">
        <v>44228</v>
      </c>
      <c r="G2" s="300">
        <v>44593</v>
      </c>
      <c r="H2" s="300">
        <v>44958</v>
      </c>
      <c r="I2" s="300">
        <v>45323</v>
      </c>
      <c r="J2" s="300">
        <v>45689</v>
      </c>
    </row>
    <row r="3" spans="1:11">
      <c r="A3" t="s">
        <v>740</v>
      </c>
      <c r="B3" t="s">
        <v>741</v>
      </c>
      <c r="C3" t="s">
        <v>742</v>
      </c>
      <c r="E3" s="300">
        <v>44197</v>
      </c>
      <c r="F3" s="300">
        <v>44562</v>
      </c>
      <c r="G3" s="300">
        <v>44927</v>
      </c>
      <c r="H3" s="300">
        <v>45292</v>
      </c>
      <c r="I3" s="300">
        <v>45658</v>
      </c>
      <c r="J3" s="300">
        <v>45992</v>
      </c>
    </row>
    <row r="4" spans="1:11">
      <c r="A4" t="s">
        <v>427</v>
      </c>
      <c r="B4" s="63">
        <v>650100</v>
      </c>
      <c r="C4" t="s">
        <v>743</v>
      </c>
      <c r="D4" t="s">
        <v>744</v>
      </c>
      <c r="E4" s="303">
        <f>E$23/$J$24*$K4/$F$1/1000</f>
        <v>13.441005541289362</v>
      </c>
      <c r="F4" s="303">
        <f t="shared" ref="F4:J4" si="0">F$23/$J$24*$K4/$F$1/1000</f>
        <v>13.441005541289362</v>
      </c>
      <c r="G4" s="303">
        <f t="shared" si="0"/>
        <v>13.441005541289362</v>
      </c>
      <c r="H4" s="303">
        <f t="shared" si="0"/>
        <v>13.441005541289362</v>
      </c>
      <c r="I4" s="303">
        <f t="shared" si="0"/>
        <v>22.928774158670084</v>
      </c>
      <c r="J4" s="303">
        <f t="shared" si="0"/>
        <v>23.592917961886734</v>
      </c>
      <c r="K4" s="115">
        <v>112320</v>
      </c>
    </row>
    <row r="5" spans="1:11">
      <c r="A5" t="s">
        <v>427</v>
      </c>
      <c r="B5">
        <v>650200</v>
      </c>
      <c r="C5" t="s">
        <v>745</v>
      </c>
      <c r="D5" t="s">
        <v>744</v>
      </c>
      <c r="E5" s="303">
        <f t="shared" ref="E5:J9" si="1">E$23/$J$24*$K5/$F$1/1000</f>
        <v>13.441005541289362</v>
      </c>
      <c r="F5" s="303">
        <f t="shared" si="1"/>
        <v>13.441005541289362</v>
      </c>
      <c r="G5" s="303">
        <f t="shared" si="1"/>
        <v>13.441005541289362</v>
      </c>
      <c r="H5" s="303">
        <f t="shared" si="1"/>
        <v>13.441005541289362</v>
      </c>
      <c r="I5" s="303">
        <f t="shared" si="1"/>
        <v>22.928774158670084</v>
      </c>
      <c r="J5" s="303">
        <f t="shared" si="1"/>
        <v>23.592917961886734</v>
      </c>
      <c r="K5" s="115">
        <v>112320</v>
      </c>
    </row>
    <row r="6" spans="1:11">
      <c r="A6" t="s">
        <v>427</v>
      </c>
      <c r="B6">
        <v>650300</v>
      </c>
      <c r="C6" t="s">
        <v>746</v>
      </c>
      <c r="D6" t="s">
        <v>744</v>
      </c>
      <c r="E6" s="303">
        <f t="shared" si="1"/>
        <v>13.773281510451863</v>
      </c>
      <c r="F6" s="303">
        <f t="shared" si="1"/>
        <v>13.773281510451863</v>
      </c>
      <c r="G6" s="303">
        <f t="shared" si="1"/>
        <v>13.773281510451863</v>
      </c>
      <c r="H6" s="303">
        <f t="shared" si="1"/>
        <v>13.773281510451863</v>
      </c>
      <c r="I6" s="303">
        <f t="shared" si="1"/>
        <v>23.495597870770819</v>
      </c>
      <c r="J6" s="303">
        <f t="shared" si="1"/>
        <v>24.176160015993144</v>
      </c>
      <c r="K6" s="115">
        <v>115096.67</v>
      </c>
    </row>
    <row r="7" spans="1:11">
      <c r="A7" t="s">
        <v>427</v>
      </c>
      <c r="B7">
        <v>650300</v>
      </c>
      <c r="C7" t="s">
        <v>430</v>
      </c>
      <c r="D7" t="s">
        <v>744</v>
      </c>
      <c r="E7" s="303">
        <f t="shared" si="1"/>
        <v>27.546561824233006</v>
      </c>
      <c r="F7" s="303">
        <f t="shared" si="1"/>
        <v>27.546561824233006</v>
      </c>
      <c r="G7" s="303">
        <f t="shared" si="1"/>
        <v>27.546561824233006</v>
      </c>
      <c r="H7" s="303">
        <f t="shared" si="1"/>
        <v>27.546561824233006</v>
      </c>
      <c r="I7" s="303">
        <f t="shared" si="1"/>
        <v>46.991193700162178</v>
      </c>
      <c r="J7" s="303">
        <f t="shared" si="1"/>
        <v>48.352317931477216</v>
      </c>
      <c r="K7" s="115">
        <v>230193.33000000002</v>
      </c>
    </row>
    <row r="8" spans="1:11">
      <c r="A8" t="s">
        <v>427</v>
      </c>
      <c r="B8">
        <v>650300</v>
      </c>
      <c r="C8" t="s">
        <v>747</v>
      </c>
      <c r="D8" t="s">
        <v>744</v>
      </c>
      <c r="E8" s="303">
        <f t="shared" si="1"/>
        <v>13.441005541289362</v>
      </c>
      <c r="F8" s="303">
        <f t="shared" si="1"/>
        <v>13.441005541289362</v>
      </c>
      <c r="G8" s="303">
        <f t="shared" si="1"/>
        <v>13.441005541289362</v>
      </c>
      <c r="H8" s="303">
        <f t="shared" si="1"/>
        <v>13.441005541289362</v>
      </c>
      <c r="I8" s="303">
        <f t="shared" si="1"/>
        <v>22.928774158670084</v>
      </c>
      <c r="J8" s="303">
        <f t="shared" si="1"/>
        <v>23.592917961886734</v>
      </c>
      <c r="K8" s="115">
        <v>112320</v>
      </c>
    </row>
    <row r="9" spans="1:11">
      <c r="A9" t="s">
        <v>32</v>
      </c>
      <c r="B9" s="63">
        <v>110800</v>
      </c>
      <c r="C9" t="s">
        <v>31</v>
      </c>
      <c r="D9" t="s">
        <v>744</v>
      </c>
      <c r="E9" s="303">
        <f t="shared" si="1"/>
        <v>3.3602513853223406</v>
      </c>
      <c r="F9" s="303">
        <f t="shared" si="1"/>
        <v>3.3602513853223406</v>
      </c>
      <c r="G9" s="303">
        <f t="shared" si="1"/>
        <v>3.3602513853223406</v>
      </c>
      <c r="H9" s="303">
        <f t="shared" si="1"/>
        <v>3.3602513853223406</v>
      </c>
      <c r="I9" s="303">
        <f t="shared" si="1"/>
        <v>5.732193539667521</v>
      </c>
      <c r="J9" s="303">
        <f t="shared" si="1"/>
        <v>5.8982294904716834</v>
      </c>
      <c r="K9" s="115">
        <v>28080</v>
      </c>
    </row>
    <row r="11" spans="1:11">
      <c r="C11" t="s">
        <v>748</v>
      </c>
      <c r="E11" s="115">
        <f>SUM(E4:E10)</f>
        <v>85.00311134387529</v>
      </c>
      <c r="F11" s="115">
        <f t="shared" ref="F11:K11" si="2">SUM(F4:F10)</f>
        <v>85.00311134387529</v>
      </c>
      <c r="G11" s="115">
        <f t="shared" si="2"/>
        <v>85.00311134387529</v>
      </c>
      <c r="H11" s="115">
        <f t="shared" si="2"/>
        <v>85.00311134387529</v>
      </c>
      <c r="I11" s="115">
        <f t="shared" si="2"/>
        <v>145.00530758661077</v>
      </c>
      <c r="J11" s="115">
        <f t="shared" si="2"/>
        <v>149.20546132360226</v>
      </c>
      <c r="K11" s="115">
        <f t="shared" si="2"/>
        <v>710330</v>
      </c>
    </row>
    <row r="12" spans="1:11">
      <c r="J12" s="124">
        <f>SUM(E11:J11)</f>
        <v>634.22321428571422</v>
      </c>
    </row>
    <row r="17" spans="3:20">
      <c r="C17" t="s">
        <v>737</v>
      </c>
      <c r="E17" t="s">
        <v>738</v>
      </c>
      <c r="F17">
        <v>1.1200000000000001</v>
      </c>
    </row>
    <row r="18" spans="3:20">
      <c r="C18" t="s">
        <v>699</v>
      </c>
      <c r="F18">
        <v>1935</v>
      </c>
      <c r="M18" t="s">
        <v>749</v>
      </c>
      <c r="N18" t="s">
        <v>749</v>
      </c>
      <c r="O18" t="s">
        <v>750</v>
      </c>
      <c r="P18" t="s">
        <v>751</v>
      </c>
      <c r="Q18" t="s">
        <v>752</v>
      </c>
      <c r="R18" t="s">
        <v>752</v>
      </c>
    </row>
    <row r="19" spans="3:20" ht="45">
      <c r="C19" t="s">
        <v>753</v>
      </c>
      <c r="E19">
        <v>1</v>
      </c>
      <c r="F19">
        <v>2</v>
      </c>
      <c r="G19">
        <v>3</v>
      </c>
      <c r="H19">
        <v>4</v>
      </c>
      <c r="I19">
        <v>5</v>
      </c>
      <c r="J19">
        <v>6</v>
      </c>
      <c r="M19" s="102" t="s">
        <v>743</v>
      </c>
      <c r="N19" t="s">
        <v>745</v>
      </c>
      <c r="O19" t="s">
        <v>746</v>
      </c>
      <c r="P19" t="s">
        <v>430</v>
      </c>
      <c r="Q19" t="s">
        <v>754</v>
      </c>
      <c r="R19" t="s">
        <v>31</v>
      </c>
      <c r="S19" t="s">
        <v>748</v>
      </c>
    </row>
    <row r="20" spans="3:20">
      <c r="C20" t="s">
        <v>739</v>
      </c>
      <c r="E20" s="300">
        <v>43862</v>
      </c>
      <c r="F20" s="300">
        <v>44228</v>
      </c>
      <c r="G20" s="300">
        <v>44593</v>
      </c>
      <c r="H20" s="300">
        <v>44958</v>
      </c>
      <c r="I20" s="300">
        <v>45323</v>
      </c>
      <c r="J20" s="300">
        <v>45689</v>
      </c>
      <c r="M20">
        <v>650100</v>
      </c>
      <c r="N20">
        <v>650200</v>
      </c>
      <c r="O20">
        <v>650310</v>
      </c>
      <c r="P20">
        <v>650320</v>
      </c>
      <c r="Q20">
        <v>650400</v>
      </c>
      <c r="R20">
        <v>110800</v>
      </c>
    </row>
    <row r="21" spans="3:20">
      <c r="C21" t="s">
        <v>742</v>
      </c>
      <c r="E21" s="300">
        <v>44197</v>
      </c>
      <c r="F21" s="300">
        <v>44562</v>
      </c>
      <c r="G21" s="300">
        <v>44927</v>
      </c>
      <c r="H21" s="300">
        <v>45292</v>
      </c>
      <c r="I21" s="300">
        <v>45658</v>
      </c>
      <c r="J21" s="300">
        <v>45992</v>
      </c>
      <c r="L21" t="s">
        <v>755</v>
      </c>
      <c r="M21" s="104">
        <v>1200</v>
      </c>
      <c r="N21" s="104">
        <v>1200</v>
      </c>
      <c r="O21" s="104">
        <v>800</v>
      </c>
      <c r="P21" s="104">
        <v>1600</v>
      </c>
      <c r="Q21" s="104">
        <v>1200</v>
      </c>
      <c r="R21" s="104">
        <v>200</v>
      </c>
      <c r="S21" s="105">
        <f>SUM(M21:R21)</f>
        <v>6200</v>
      </c>
    </row>
    <row r="22" spans="3:20">
      <c r="C22" t="s">
        <v>756</v>
      </c>
      <c r="E22" t="s">
        <v>554</v>
      </c>
      <c r="G22" t="s">
        <v>757</v>
      </c>
      <c r="I22" t="s">
        <v>758</v>
      </c>
      <c r="J22" t="s">
        <v>759</v>
      </c>
      <c r="L22" t="s">
        <v>760</v>
      </c>
      <c r="M22" s="104">
        <v>112320</v>
      </c>
      <c r="N22" s="104">
        <v>112320</v>
      </c>
      <c r="O22" s="104">
        <v>74880</v>
      </c>
      <c r="P22" s="104">
        <v>149760</v>
      </c>
      <c r="Q22" s="104">
        <v>112320</v>
      </c>
      <c r="R22" s="104">
        <v>28080</v>
      </c>
      <c r="S22" s="105">
        <f>SUM(M22:R22)</f>
        <v>589680</v>
      </c>
    </row>
    <row r="23" spans="3:20">
      <c r="C23" s="16" t="s">
        <v>761</v>
      </c>
      <c r="D23" s="16"/>
      <c r="E23" s="16">
        <v>85</v>
      </c>
      <c r="F23" s="16">
        <v>85</v>
      </c>
      <c r="G23" s="16">
        <v>85</v>
      </c>
      <c r="H23" s="16">
        <v>85</v>
      </c>
      <c r="I23" s="16">
        <v>145</v>
      </c>
      <c r="J23" s="16">
        <v>149.19999999999999</v>
      </c>
      <c r="L23" t="s">
        <v>29</v>
      </c>
      <c r="M23">
        <v>3.1</v>
      </c>
      <c r="N23">
        <v>3.1</v>
      </c>
      <c r="O23">
        <v>3.1</v>
      </c>
      <c r="P23">
        <v>3.1</v>
      </c>
      <c r="Q23">
        <v>3.1</v>
      </c>
      <c r="R23">
        <v>0.1</v>
      </c>
      <c r="S23">
        <v>3.2</v>
      </c>
    </row>
    <row r="24" spans="3:20">
      <c r="C24" t="s">
        <v>762</v>
      </c>
      <c r="E24">
        <f>E23</f>
        <v>85</v>
      </c>
      <c r="F24">
        <f>E24+F23</f>
        <v>170</v>
      </c>
      <c r="G24">
        <f t="shared" ref="G24:J24" si="3">F24+G23</f>
        <v>255</v>
      </c>
      <c r="H24">
        <f t="shared" si="3"/>
        <v>340</v>
      </c>
      <c r="I24">
        <f t="shared" si="3"/>
        <v>485</v>
      </c>
      <c r="J24">
        <f t="shared" si="3"/>
        <v>634.20000000000005</v>
      </c>
      <c r="L24" t="s">
        <v>763</v>
      </c>
      <c r="M24" s="104"/>
      <c r="N24" s="104"/>
      <c r="O24" s="104">
        <v>40216.67</v>
      </c>
      <c r="P24" s="104">
        <v>80433.33</v>
      </c>
      <c r="Q24" s="104"/>
      <c r="R24" s="104"/>
      <c r="S24" s="105">
        <f>SUM(M24:R24)</f>
        <v>120650</v>
      </c>
      <c r="T24" t="s">
        <v>764</v>
      </c>
    </row>
    <row r="25" spans="3:20">
      <c r="C25" t="s">
        <v>765</v>
      </c>
      <c r="E25">
        <v>110</v>
      </c>
      <c r="G25">
        <v>200</v>
      </c>
      <c r="I25">
        <v>200</v>
      </c>
      <c r="J25">
        <v>124.2</v>
      </c>
      <c r="L25" t="s">
        <v>766</v>
      </c>
      <c r="M25" s="105">
        <f>SUM(M24,M22)</f>
        <v>112320</v>
      </c>
      <c r="N25" s="105">
        <f t="shared" ref="N25:S25" si="4">SUM(N24,N22)</f>
        <v>112320</v>
      </c>
      <c r="O25" s="105">
        <f t="shared" si="4"/>
        <v>115096.67</v>
      </c>
      <c r="P25" s="105">
        <f t="shared" si="4"/>
        <v>230193.33000000002</v>
      </c>
      <c r="Q25" s="105">
        <f t="shared" si="4"/>
        <v>112320</v>
      </c>
      <c r="R25" s="105">
        <f t="shared" si="4"/>
        <v>28080</v>
      </c>
      <c r="S25" s="105">
        <f t="shared" si="4"/>
        <v>710330</v>
      </c>
    </row>
    <row r="26" spans="3:20">
      <c r="C26" t="s">
        <v>762</v>
      </c>
      <c r="E26">
        <f>E25</f>
        <v>110</v>
      </c>
      <c r="F26">
        <f>E26+F25</f>
        <v>110</v>
      </c>
      <c r="G26">
        <f t="shared" ref="G26:J26" si="5">F26+G25</f>
        <v>310</v>
      </c>
      <c r="H26">
        <f t="shared" si="5"/>
        <v>310</v>
      </c>
      <c r="I26">
        <f t="shared" si="5"/>
        <v>510</v>
      </c>
      <c r="J26">
        <f t="shared" si="5"/>
        <v>634.20000000000005</v>
      </c>
      <c r="L26" s="16" t="s">
        <v>767</v>
      </c>
      <c r="M26" s="389">
        <v>100285.71</v>
      </c>
      <c r="N26" s="389">
        <v>100285.71</v>
      </c>
      <c r="O26" s="389">
        <v>102764.88</v>
      </c>
      <c r="P26" s="389">
        <v>205529.76</v>
      </c>
      <c r="Q26" s="389">
        <v>100285.71</v>
      </c>
      <c r="R26" s="389">
        <v>25071.43</v>
      </c>
      <c r="S26" s="389">
        <f>SUM(M26:R26)</f>
        <v>634223.20000000007</v>
      </c>
    </row>
    <row r="27" spans="3:20">
      <c r="C27" t="s">
        <v>768</v>
      </c>
      <c r="E27">
        <f>E26-E24</f>
        <v>25</v>
      </c>
      <c r="F27">
        <f t="shared" ref="F27:J27" si="6">F26-F24</f>
        <v>-60</v>
      </c>
      <c r="G27">
        <f t="shared" si="6"/>
        <v>55</v>
      </c>
      <c r="H27">
        <f t="shared" si="6"/>
        <v>-30</v>
      </c>
      <c r="I27">
        <f t="shared" si="6"/>
        <v>25</v>
      </c>
      <c r="J27">
        <f t="shared" si="6"/>
        <v>0</v>
      </c>
      <c r="M27">
        <v>112320</v>
      </c>
      <c r="N27">
        <v>112320</v>
      </c>
      <c r="O27">
        <v>115096.67</v>
      </c>
      <c r="P27">
        <v>230193.33000000002</v>
      </c>
      <c r="Q27">
        <v>112320</v>
      </c>
      <c r="R27">
        <v>28080</v>
      </c>
    </row>
    <row r="29" spans="3:20">
      <c r="C29" t="s">
        <v>769</v>
      </c>
      <c r="E29" s="104">
        <f>(SUM($M$21:$O$21)/5)+(SUM($Q$21:$R$21)/6)</f>
        <v>873.33333333333337</v>
      </c>
      <c r="F29" s="104">
        <f t="shared" ref="F29:I29" si="7">(SUM($M$21:$O$21)/5)+(SUM($Q$21:$R$21)/6)</f>
        <v>873.33333333333337</v>
      </c>
      <c r="G29" s="104">
        <f t="shared" si="7"/>
        <v>873.33333333333337</v>
      </c>
      <c r="H29" s="104">
        <f t="shared" si="7"/>
        <v>873.33333333333337</v>
      </c>
      <c r="I29" s="104">
        <f t="shared" si="7"/>
        <v>873.33333333333337</v>
      </c>
      <c r="J29" s="104">
        <f>1600+(1400/6)</f>
        <v>1833.3333333333333</v>
      </c>
    </row>
    <row r="30" spans="3:20">
      <c r="C30" t="s">
        <v>770</v>
      </c>
      <c r="E30">
        <v>3.2</v>
      </c>
      <c r="F30">
        <v>3.2</v>
      </c>
      <c r="G30">
        <v>3.2</v>
      </c>
      <c r="H30">
        <v>3.2</v>
      </c>
      <c r="I30">
        <v>3.2</v>
      </c>
      <c r="J30">
        <v>3.2</v>
      </c>
    </row>
    <row r="31" spans="3:20">
      <c r="C31" t="s">
        <v>771</v>
      </c>
      <c r="E31" s="302">
        <f>E29/$F$18</f>
        <v>0.45133505598621881</v>
      </c>
      <c r="F31" s="302">
        <f t="shared" ref="F31:J31" si="8">F29/$F$18</f>
        <v>0.45133505598621881</v>
      </c>
      <c r="G31" s="302">
        <f t="shared" si="8"/>
        <v>0.45133505598621881</v>
      </c>
      <c r="H31" s="302">
        <f t="shared" si="8"/>
        <v>0.45133505598621881</v>
      </c>
      <c r="I31" s="302">
        <f t="shared" si="8"/>
        <v>0.45133505598621881</v>
      </c>
      <c r="J31" s="302">
        <f t="shared" si="8"/>
        <v>0.94745908699397063</v>
      </c>
    </row>
    <row r="32" spans="3:20">
      <c r="E32">
        <f>E23*$F$17</f>
        <v>95.2</v>
      </c>
      <c r="F32">
        <f t="shared" ref="F32:J32" si="9">F23*$F$17</f>
        <v>95.2</v>
      </c>
      <c r="G32">
        <f t="shared" si="9"/>
        <v>95.2</v>
      </c>
      <c r="H32">
        <f t="shared" si="9"/>
        <v>95.2</v>
      </c>
      <c r="I32">
        <f t="shared" si="9"/>
        <v>162.4</v>
      </c>
      <c r="J32">
        <f t="shared" si="9"/>
        <v>167.10400000000001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AM92"/>
  <sheetViews>
    <sheetView zoomScale="110" zoomScaleNormal="110" workbookViewId="0">
      <pane xSplit="9" ySplit="12" topLeftCell="AD71" activePane="bottomRight" state="frozen"/>
      <selection pane="topRight" activeCell="AR78" sqref="AR78"/>
      <selection pane="bottomLeft" activeCell="AR78" sqref="AR78"/>
      <selection pane="bottomRight" activeCell="AR78" sqref="AR78"/>
    </sheetView>
  </sheetViews>
  <sheetFormatPr defaultColWidth="8.85546875" defaultRowHeight="15" outlineLevelCol="1"/>
  <cols>
    <col min="1" max="1" width="5.28515625" customWidth="1"/>
    <col min="2" max="2" width="31.42578125" customWidth="1"/>
    <col min="3" max="3" width="4.28515625" customWidth="1"/>
    <col min="4" max="4" width="6.85546875" customWidth="1"/>
    <col min="5" max="5" width="8.85546875" style="36"/>
    <col min="6" max="6" width="12.42578125" style="36" bestFit="1" customWidth="1"/>
    <col min="7" max="7" width="12.42578125" style="36" hidden="1" customWidth="1" outlineLevel="1"/>
    <col min="8" max="8" width="15.85546875" style="36" hidden="1" customWidth="1" outlineLevel="1"/>
    <col min="9" max="9" width="12.42578125" hidden="1" customWidth="1" outlineLevel="1"/>
    <col min="10" max="10" width="9.85546875" bestFit="1" customWidth="1" collapsed="1"/>
    <col min="11" max="12" width="9" bestFit="1" customWidth="1"/>
    <col min="13" max="17" width="9.7109375" bestFit="1" customWidth="1"/>
    <col min="18" max="18" width="6.85546875" customWidth="1"/>
    <col min="19" max="23" width="9.7109375" bestFit="1" customWidth="1"/>
    <col min="24" max="25" width="9" bestFit="1" customWidth="1"/>
    <col min="26" max="26" width="6.85546875" customWidth="1"/>
    <col min="27" max="33" width="9" bestFit="1" customWidth="1"/>
  </cols>
  <sheetData>
    <row r="1" spans="1:34" ht="18.75">
      <c r="A1" s="1" t="s">
        <v>528</v>
      </c>
    </row>
    <row r="5" spans="1:34">
      <c r="B5" s="4" t="s">
        <v>529</v>
      </c>
    </row>
    <row r="6" spans="1:34">
      <c r="B6" s="6" t="s">
        <v>530</v>
      </c>
      <c r="C6" s="7">
        <v>2019</v>
      </c>
    </row>
    <row r="7" spans="1:34">
      <c r="B7" s="6" t="s">
        <v>531</v>
      </c>
      <c r="C7" s="125" t="s">
        <v>532</v>
      </c>
      <c r="D7" s="17"/>
      <c r="J7">
        <v>3</v>
      </c>
      <c r="K7">
        <f>J7+3</f>
        <v>6</v>
      </c>
      <c r="L7">
        <f t="shared" ref="L7:AG7" si="0">K7+3</f>
        <v>9</v>
      </c>
      <c r="M7">
        <f t="shared" si="0"/>
        <v>12</v>
      </c>
      <c r="N7">
        <f t="shared" si="0"/>
        <v>15</v>
      </c>
      <c r="O7">
        <f t="shared" si="0"/>
        <v>18</v>
      </c>
      <c r="P7">
        <f t="shared" si="0"/>
        <v>21</v>
      </c>
      <c r="Q7">
        <f t="shared" si="0"/>
        <v>24</v>
      </c>
      <c r="R7">
        <f t="shared" si="0"/>
        <v>27</v>
      </c>
      <c r="S7">
        <f t="shared" si="0"/>
        <v>30</v>
      </c>
      <c r="T7">
        <f t="shared" si="0"/>
        <v>33</v>
      </c>
      <c r="U7">
        <f t="shared" si="0"/>
        <v>36</v>
      </c>
      <c r="V7">
        <f t="shared" si="0"/>
        <v>39</v>
      </c>
      <c r="W7">
        <f t="shared" si="0"/>
        <v>42</v>
      </c>
      <c r="X7">
        <f t="shared" si="0"/>
        <v>45</v>
      </c>
      <c r="Y7">
        <f t="shared" si="0"/>
        <v>48</v>
      </c>
      <c r="Z7">
        <f t="shared" si="0"/>
        <v>51</v>
      </c>
      <c r="AA7">
        <f t="shared" si="0"/>
        <v>54</v>
      </c>
      <c r="AB7">
        <f t="shared" si="0"/>
        <v>57</v>
      </c>
      <c r="AC7">
        <f t="shared" si="0"/>
        <v>60</v>
      </c>
      <c r="AD7">
        <f t="shared" si="0"/>
        <v>63</v>
      </c>
      <c r="AE7">
        <f t="shared" si="0"/>
        <v>66</v>
      </c>
      <c r="AF7">
        <f t="shared" si="0"/>
        <v>69</v>
      </c>
      <c r="AG7">
        <f t="shared" si="0"/>
        <v>72</v>
      </c>
    </row>
    <row r="8" spans="1:34">
      <c r="I8" t="s">
        <v>533</v>
      </c>
      <c r="J8" s="2">
        <v>2020</v>
      </c>
      <c r="K8" s="2"/>
      <c r="L8" s="2"/>
      <c r="M8" s="2"/>
      <c r="N8" s="3">
        <v>2021</v>
      </c>
      <c r="O8" s="3"/>
      <c r="P8" s="3"/>
      <c r="Q8" s="3"/>
      <c r="R8" s="2">
        <v>2022</v>
      </c>
      <c r="S8" s="2"/>
      <c r="T8" s="2"/>
      <c r="U8" s="2"/>
      <c r="V8" s="3">
        <v>2023</v>
      </c>
      <c r="W8" s="3"/>
      <c r="X8" s="3"/>
      <c r="Y8" s="3"/>
      <c r="Z8" s="2">
        <v>2024</v>
      </c>
      <c r="AA8" s="2"/>
      <c r="AB8" s="2"/>
      <c r="AC8" s="2"/>
      <c r="AD8" s="3">
        <v>2025</v>
      </c>
      <c r="AE8" s="3"/>
      <c r="AF8" s="3"/>
      <c r="AG8" s="3"/>
      <c r="AH8" t="s">
        <v>534</v>
      </c>
    </row>
    <row r="9" spans="1:34">
      <c r="I9" t="s">
        <v>27</v>
      </c>
      <c r="J9" t="s">
        <v>536</v>
      </c>
      <c r="M9" t="s">
        <v>537</v>
      </c>
    </row>
    <row r="10" spans="1:34">
      <c r="A10" t="s">
        <v>541</v>
      </c>
      <c r="B10" s="126" t="s">
        <v>542</v>
      </c>
      <c r="C10" s="127"/>
      <c r="D10" s="128"/>
      <c r="E10" s="36" t="s">
        <v>543</v>
      </c>
      <c r="F10" s="36" t="s">
        <v>544</v>
      </c>
      <c r="G10" s="36" t="s">
        <v>545</v>
      </c>
      <c r="H10" s="36" t="s">
        <v>546</v>
      </c>
      <c r="I10" t="s">
        <v>547</v>
      </c>
      <c r="J10" t="s">
        <v>548</v>
      </c>
      <c r="K10" t="s">
        <v>549</v>
      </c>
      <c r="L10" t="s">
        <v>550</v>
      </c>
      <c r="M10" t="s">
        <v>551</v>
      </c>
      <c r="N10" t="s">
        <v>548</v>
      </c>
      <c r="O10" t="s">
        <v>549</v>
      </c>
      <c r="P10" t="s">
        <v>550</v>
      </c>
      <c r="Q10" t="s">
        <v>551</v>
      </c>
      <c r="R10" t="s">
        <v>548</v>
      </c>
      <c r="S10" t="s">
        <v>549</v>
      </c>
      <c r="T10" t="s">
        <v>550</v>
      </c>
      <c r="U10" t="s">
        <v>551</v>
      </c>
      <c r="V10" t="s">
        <v>548</v>
      </c>
      <c r="W10" t="s">
        <v>549</v>
      </c>
      <c r="X10" t="s">
        <v>550</v>
      </c>
      <c r="Y10" t="s">
        <v>551</v>
      </c>
      <c r="Z10" t="s">
        <v>548</v>
      </c>
      <c r="AA10" t="s">
        <v>549</v>
      </c>
      <c r="AB10" t="s">
        <v>550</v>
      </c>
      <c r="AC10" t="s">
        <v>551</v>
      </c>
      <c r="AD10" t="s">
        <v>548</v>
      </c>
      <c r="AE10" t="s">
        <v>549</v>
      </c>
      <c r="AF10" t="s">
        <v>550</v>
      </c>
      <c r="AG10" t="s">
        <v>551</v>
      </c>
    </row>
    <row r="11" spans="1:34">
      <c r="B11" s="129" t="s">
        <v>552</v>
      </c>
      <c r="C11" s="130"/>
      <c r="D11" s="131"/>
      <c r="I11" t="s">
        <v>553</v>
      </c>
      <c r="J11" t="s">
        <v>554</v>
      </c>
      <c r="M11" t="s">
        <v>555</v>
      </c>
    </row>
    <row r="12" spans="1:34">
      <c r="B12" s="39" t="s">
        <v>556</v>
      </c>
      <c r="C12" s="40"/>
      <c r="D12" s="41"/>
      <c r="J12" s="8">
        <v>43862</v>
      </c>
      <c r="K12" s="8">
        <v>43922</v>
      </c>
      <c r="L12" s="8">
        <v>44012</v>
      </c>
      <c r="M12" s="8">
        <v>44227</v>
      </c>
    </row>
    <row r="13" spans="1:34">
      <c r="B13" s="42" t="s">
        <v>557</v>
      </c>
      <c r="C13" s="43"/>
      <c r="D13" s="44"/>
    </row>
    <row r="14" spans="1:34">
      <c r="A14" s="16" t="s">
        <v>32</v>
      </c>
      <c r="B14" s="42" t="s">
        <v>558</v>
      </c>
      <c r="C14" s="43"/>
      <c r="D14" s="44"/>
      <c r="E14" s="36" t="s">
        <v>12</v>
      </c>
      <c r="F14" s="36" t="s">
        <v>13</v>
      </c>
      <c r="G14" s="36" t="str">
        <f>CONCATENATE(E14,F14)</f>
        <v>MGTManpower</v>
      </c>
      <c r="H14" s="60">
        <v>110000</v>
      </c>
      <c r="J14" s="123">
        <f>SUMIF('APCO NEW'!$A:$A,'Price Table 8 APCO'!$A14,'APCO NEW'!G:G)</f>
        <v>0</v>
      </c>
      <c r="K14" s="123">
        <f>SUMIF('APCO NEW'!$A:$A,'Price Table 8 APCO'!$A14,'APCO NEW'!H:H)</f>
        <v>0</v>
      </c>
      <c r="L14" s="123">
        <f>SUMIF('APCO NEW'!$A:$A,'Price Table 8 APCO'!$A14,'APCO NEW'!I:I)</f>
        <v>21.440158626760567</v>
      </c>
      <c r="M14" s="123">
        <f>SUMIF('APCO NEW'!$A:$A,'Price Table 8 APCO'!$A14,'APCO NEW'!J:J)</f>
        <v>17.637341725352115</v>
      </c>
      <c r="N14" s="123">
        <f>SUMIF('APCO NEW'!$A:$A,'Price Table 8 APCO'!$A14,'APCO NEW'!K:K)</f>
        <v>21.440158626760567</v>
      </c>
      <c r="O14" s="123">
        <f>SUMIF('APCO NEW'!$A:$A,'Price Table 8 APCO'!$A14,'APCO NEW'!L:L)</f>
        <v>17.637341725352115</v>
      </c>
      <c r="P14" s="123">
        <f>SUMIF('APCO NEW'!$A:$A,'Price Table 8 APCO'!$A14,'APCO NEW'!M:M)</f>
        <v>21.440158626760567</v>
      </c>
      <c r="Q14" s="123">
        <f>SUMIF('APCO NEW'!$A:$A,'Price Table 8 APCO'!$A14,'APCO NEW'!N:N)</f>
        <v>17.637341725352115</v>
      </c>
      <c r="R14" s="123">
        <f>SUMIF('APCO NEW'!$A:$A,'Price Table 8 APCO'!$A14,'APCO NEW'!O:O)</f>
        <v>21.440158626760567</v>
      </c>
      <c r="S14" s="123">
        <f>SUMIF('APCO NEW'!$A:$A,'Price Table 8 APCO'!$A14,'APCO NEW'!P:P)</f>
        <v>17.637341725352115</v>
      </c>
      <c r="T14" s="123">
        <f>SUMIF('APCO NEW'!$A:$A,'Price Table 8 APCO'!$A14,'APCO NEW'!Q:Q)</f>
        <v>21.440158626760567</v>
      </c>
      <c r="U14" s="123">
        <f>SUMIF('APCO NEW'!$A:$A,'Price Table 8 APCO'!$A14,'APCO NEW'!R:R)</f>
        <v>17.637341725352115</v>
      </c>
      <c r="V14" s="123">
        <f>SUMIF('APCO NEW'!$A:$A,'Price Table 8 APCO'!$A14,'APCO NEW'!S:S)</f>
        <v>21.440158626760567</v>
      </c>
      <c r="W14" s="123">
        <f>SUMIF('APCO NEW'!$A:$A,'Price Table 8 APCO'!$A14,'APCO NEW'!T:T)</f>
        <v>17.637341725352115</v>
      </c>
      <c r="X14" s="123">
        <f>SUMIF('APCO NEW'!$A:$A,'Price Table 8 APCO'!$A14,'APCO NEW'!U:U)</f>
        <v>21.440158626760567</v>
      </c>
      <c r="Y14" s="123">
        <f>SUMIF('APCO NEW'!$A:$A,'Price Table 8 APCO'!$A14,'APCO NEW'!V:V)</f>
        <v>17.637341725352115</v>
      </c>
      <c r="Z14" s="123">
        <f>SUMIF('APCO NEW'!$A:$A,'Price Table 8 APCO'!$A14,'APCO NEW'!W:W)</f>
        <v>21.440158626760567</v>
      </c>
      <c r="AA14" s="123">
        <f>SUMIF('APCO NEW'!$A:$A,'Price Table 8 APCO'!$A14,'APCO NEW'!X:X)</f>
        <v>17.637341725352115</v>
      </c>
      <c r="AB14" s="123">
        <f>SUMIF('APCO NEW'!$A:$A,'Price Table 8 APCO'!$A14,'APCO NEW'!Y:Y)</f>
        <v>21.440158626760567</v>
      </c>
      <c r="AC14" s="123">
        <f>SUMIF('APCO NEW'!$A:$A,'Price Table 8 APCO'!$A14,'APCO NEW'!Z:Z)</f>
        <v>21.440158626760567</v>
      </c>
      <c r="AD14" s="123">
        <f>SUMIF('APCO NEW'!$A:$A,'Price Table 8 APCO'!$A14,'APCO NEW'!AA:AA)</f>
        <v>0</v>
      </c>
      <c r="AE14" s="123">
        <f>SUMIF('APCO NEW'!$A:$A,'Price Table 8 APCO'!$A14,'APCO NEW'!AB:AB)</f>
        <v>0</v>
      </c>
      <c r="AF14" s="123">
        <f>SUMIF('APCO NEW'!$A:$A,'Price Table 8 APCO'!$A14,'APCO NEW'!AC:AC)</f>
        <v>0</v>
      </c>
      <c r="AG14" s="123">
        <f>SUMIF('APCO NEW'!$A:$A,'Price Table 8 APCO'!$A14,'APCO NEW'!AD:AD)</f>
        <v>0</v>
      </c>
      <c r="AH14" s="115">
        <f>SUM(J14:AG14)</f>
        <v>355.50032007042262</v>
      </c>
    </row>
    <row r="15" spans="1:34">
      <c r="A15" s="16" t="s">
        <v>76</v>
      </c>
      <c r="B15" s="42" t="s">
        <v>559</v>
      </c>
      <c r="C15" s="43"/>
      <c r="D15" s="44"/>
      <c r="E15" s="36" t="s">
        <v>12</v>
      </c>
      <c r="F15" s="36" t="s">
        <v>13</v>
      </c>
      <c r="G15" s="36" t="str">
        <f>CONCATENATE(E15,F15)</f>
        <v>MGTManpower</v>
      </c>
      <c r="H15" s="16">
        <v>130000</v>
      </c>
      <c r="J15" s="123">
        <f>SUMIF('APCO NEW'!$A:$A,'Price Table 8 APCO'!$A15,'APCO NEW'!G:G)</f>
        <v>0</v>
      </c>
      <c r="K15" s="123">
        <f>SUMIF('APCO NEW'!$A:$A,'Price Table 8 APCO'!$A15,'APCO NEW'!H:H)</f>
        <v>0</v>
      </c>
      <c r="L15" s="123">
        <f>SUMIF('APCO NEW'!$A:$A,'Price Table 8 APCO'!$A15,'APCO NEW'!I:I)</f>
        <v>5.1859964788732391</v>
      </c>
      <c r="M15" s="123">
        <f>SUMIF('APCO NEW'!$A:$A,'Price Table 8 APCO'!$A15,'APCO NEW'!J:J)</f>
        <v>5.1859964788732391</v>
      </c>
      <c r="N15" s="123">
        <f>SUMIF('APCO NEW'!$A:$A,'Price Table 8 APCO'!$A15,'APCO NEW'!K:K)</f>
        <v>5.1859964788732391</v>
      </c>
      <c r="O15" s="123">
        <f>SUMIF('APCO NEW'!$A:$A,'Price Table 8 APCO'!$A15,'APCO NEW'!L:L)</f>
        <v>5.1859964788732391</v>
      </c>
      <c r="P15" s="123">
        <f>SUMIF('APCO NEW'!$A:$A,'Price Table 8 APCO'!$A15,'APCO NEW'!M:M)</f>
        <v>5.1859964788732391</v>
      </c>
      <c r="Q15" s="123">
        <f>SUMIF('APCO NEW'!$A:$A,'Price Table 8 APCO'!$A15,'APCO NEW'!N:N)</f>
        <v>5.1859964788732391</v>
      </c>
      <c r="R15" s="123">
        <f>SUMIF('APCO NEW'!$A:$A,'Price Table 8 APCO'!$A15,'APCO NEW'!O:O)</f>
        <v>5.1859964788732391</v>
      </c>
      <c r="S15" s="123">
        <f>SUMIF('APCO NEW'!$A:$A,'Price Table 8 APCO'!$A15,'APCO NEW'!P:P)</f>
        <v>5.1859964788732391</v>
      </c>
      <c r="T15" s="123">
        <f>SUMIF('APCO NEW'!$A:$A,'Price Table 8 APCO'!$A15,'APCO NEW'!Q:Q)</f>
        <v>5.1859964788732391</v>
      </c>
      <c r="U15" s="123">
        <f>SUMIF('APCO NEW'!$A:$A,'Price Table 8 APCO'!$A15,'APCO NEW'!R:R)</f>
        <v>5.1859964788732391</v>
      </c>
      <c r="V15" s="123">
        <f>SUMIF('APCO NEW'!$A:$A,'Price Table 8 APCO'!$A15,'APCO NEW'!S:S)</f>
        <v>5.1859964788732391</v>
      </c>
      <c r="W15" s="123">
        <f>SUMIF('APCO NEW'!$A:$A,'Price Table 8 APCO'!$A15,'APCO NEW'!T:T)</f>
        <v>5.1859964788732391</v>
      </c>
      <c r="X15" s="123">
        <f>SUMIF('APCO NEW'!$A:$A,'Price Table 8 APCO'!$A15,'APCO NEW'!U:U)</f>
        <v>5.1859964788732391</v>
      </c>
      <c r="Y15" s="123">
        <f>SUMIF('APCO NEW'!$A:$A,'Price Table 8 APCO'!$A15,'APCO NEW'!V:V)</f>
        <v>5.1859964788732391</v>
      </c>
      <c r="Z15" s="123">
        <f>SUMIF('APCO NEW'!$A:$A,'Price Table 8 APCO'!$A15,'APCO NEW'!W:W)</f>
        <v>5.1859964788732391</v>
      </c>
      <c r="AA15" s="123">
        <f>SUMIF('APCO NEW'!$A:$A,'Price Table 8 APCO'!$A15,'APCO NEW'!X:X)</f>
        <v>5.1859964788732391</v>
      </c>
      <c r="AB15" s="123">
        <f>SUMIF('APCO NEW'!$A:$A,'Price Table 8 APCO'!$A15,'APCO NEW'!Y:Y)</f>
        <v>5.1859964788732391</v>
      </c>
      <c r="AC15" s="123">
        <f>SUMIF('APCO NEW'!$A:$A,'Price Table 8 APCO'!$A15,'APCO NEW'!Z:Z)</f>
        <v>5.1859964788732391</v>
      </c>
      <c r="AD15" s="123">
        <f>SUMIF('APCO NEW'!$A:$A,'Price Table 8 APCO'!$A15,'APCO NEW'!AA:AA)</f>
        <v>0</v>
      </c>
      <c r="AE15" s="123">
        <f>SUMIF('APCO NEW'!$A:$A,'Price Table 8 APCO'!$A15,'APCO NEW'!AB:AB)</f>
        <v>0</v>
      </c>
      <c r="AF15" s="123">
        <f>SUMIF('APCO NEW'!$A:$A,'Price Table 8 APCO'!$A15,'APCO NEW'!AC:AC)</f>
        <v>0</v>
      </c>
      <c r="AG15" s="123">
        <f>SUMIF('APCO NEW'!$A:$A,'Price Table 8 APCO'!$A15,'APCO NEW'!AD:AD)</f>
        <v>0</v>
      </c>
      <c r="AH15" s="115">
        <f t="shared" ref="AH15:AH78" si="1">SUM(J15:AG15)</f>
        <v>93.347936619718269</v>
      </c>
    </row>
    <row r="16" spans="1:34">
      <c r="A16" s="16" t="s">
        <v>62</v>
      </c>
      <c r="B16" s="42" t="s">
        <v>560</v>
      </c>
      <c r="C16" s="43"/>
      <c r="D16" s="44"/>
      <c r="E16" s="36" t="s">
        <v>14</v>
      </c>
      <c r="F16" s="36" t="s">
        <v>13</v>
      </c>
      <c r="G16" s="36" t="str">
        <f>CONCATENATE(E16,F16)</f>
        <v>MISSIONManpower</v>
      </c>
      <c r="H16" s="16" t="s">
        <v>561</v>
      </c>
      <c r="J16" s="123">
        <f>SUMIF('APCO NEW'!$A:$A,'Price Table 8 APCO'!$A16,'APCO NEW'!G:G)</f>
        <v>0</v>
      </c>
      <c r="K16" s="123">
        <f>SUMIF('APCO NEW'!$A:$A,'Price Table 8 APCO'!$A16,'APCO NEW'!H:H)</f>
        <v>0</v>
      </c>
      <c r="L16" s="123">
        <f>SUMIF('APCO NEW'!$A:$A,'Price Table 8 APCO'!$A16,'APCO NEW'!I:I)</f>
        <v>56.695099119718314</v>
      </c>
      <c r="M16" s="123">
        <f>SUMIF('APCO NEW'!$A:$A,'Price Table 8 APCO'!$A16,'APCO NEW'!J:J)</f>
        <v>56.695099119718314</v>
      </c>
      <c r="N16" s="123">
        <f>SUMIF('APCO NEW'!$A:$A,'Price Table 8 APCO'!$A16,'APCO NEW'!K:K)</f>
        <v>0</v>
      </c>
      <c r="O16" s="123">
        <f>SUMIF('APCO NEW'!$A:$A,'Price Table 8 APCO'!$A16,'APCO NEW'!L:L)</f>
        <v>0</v>
      </c>
      <c r="P16" s="123">
        <f>SUMIF('APCO NEW'!$A:$A,'Price Table 8 APCO'!$A16,'APCO NEW'!M:M)</f>
        <v>0</v>
      </c>
      <c r="Q16" s="123">
        <f>SUMIF('APCO NEW'!$A:$A,'Price Table 8 APCO'!$A16,'APCO NEW'!N:N)</f>
        <v>0</v>
      </c>
      <c r="R16" s="123">
        <f>SUMIF('APCO NEW'!$A:$A,'Price Table 8 APCO'!$A16,'APCO NEW'!O:O)</f>
        <v>0</v>
      </c>
      <c r="S16" s="123">
        <f>SUMIF('APCO NEW'!$A:$A,'Price Table 8 APCO'!$A16,'APCO NEW'!P:P)</f>
        <v>0</v>
      </c>
      <c r="T16" s="123">
        <f>SUMIF('APCO NEW'!$A:$A,'Price Table 8 APCO'!$A16,'APCO NEW'!Q:Q)</f>
        <v>0</v>
      </c>
      <c r="U16" s="123">
        <f>SUMIF('APCO NEW'!$A:$A,'Price Table 8 APCO'!$A16,'APCO NEW'!R:R)</f>
        <v>0</v>
      </c>
      <c r="V16" s="123">
        <f>SUMIF('APCO NEW'!$A:$A,'Price Table 8 APCO'!$A16,'APCO NEW'!S:S)</f>
        <v>0</v>
      </c>
      <c r="W16" s="123">
        <f>SUMIF('APCO NEW'!$A:$A,'Price Table 8 APCO'!$A16,'APCO NEW'!T:T)</f>
        <v>0</v>
      </c>
      <c r="X16" s="123">
        <f>SUMIF('APCO NEW'!$A:$A,'Price Table 8 APCO'!$A16,'APCO NEW'!U:U)</f>
        <v>0</v>
      </c>
      <c r="Y16" s="123">
        <f>SUMIF('APCO NEW'!$A:$A,'Price Table 8 APCO'!$A16,'APCO NEW'!V:V)</f>
        <v>0</v>
      </c>
      <c r="Z16" s="123">
        <f>SUMIF('APCO NEW'!$A:$A,'Price Table 8 APCO'!$A16,'APCO NEW'!W:W)</f>
        <v>0</v>
      </c>
      <c r="AA16" s="123">
        <f>SUMIF('APCO NEW'!$A:$A,'Price Table 8 APCO'!$A16,'APCO NEW'!X:X)</f>
        <v>0</v>
      </c>
      <c r="AB16" s="123">
        <f>SUMIF('APCO NEW'!$A:$A,'Price Table 8 APCO'!$A16,'APCO NEW'!Y:Y)</f>
        <v>0</v>
      </c>
      <c r="AC16" s="123">
        <f>SUMIF('APCO NEW'!$A:$A,'Price Table 8 APCO'!$A16,'APCO NEW'!Z:Z)</f>
        <v>0</v>
      </c>
      <c r="AD16" s="391">
        <f>SUMIF('APCO NEW'!$A:$A,'Price Table 8 APCO'!$A16,'APCO NEW'!AA:AA)</f>
        <v>0</v>
      </c>
      <c r="AE16" s="391">
        <f>SUMIF('APCO NEW'!$A:$A,'Price Table 8 APCO'!$A16,'APCO NEW'!AB:AB)</f>
        <v>0</v>
      </c>
      <c r="AF16" s="391">
        <f>SUMIF('APCO NEW'!$A:$A,'Price Table 8 APCO'!$A16,'APCO NEW'!AC:AC)</f>
        <v>0</v>
      </c>
      <c r="AG16" s="391">
        <f>SUMIF('APCO NEW'!$A:$A,'Price Table 8 APCO'!$A16,'APCO NEW'!AD:AD)</f>
        <v>0</v>
      </c>
      <c r="AH16" s="115">
        <f t="shared" si="1"/>
        <v>113.39019823943663</v>
      </c>
    </row>
    <row r="17" spans="1:39" s="16" customFormat="1">
      <c r="B17" s="45"/>
      <c r="C17" s="55"/>
      <c r="D17" s="56" t="s">
        <v>562</v>
      </c>
      <c r="E17" s="57"/>
      <c r="F17" s="57"/>
      <c r="G17" s="57"/>
      <c r="H17" s="17"/>
      <c r="J17" s="390"/>
      <c r="K17" s="390"/>
      <c r="L17" s="390"/>
      <c r="M17" s="390"/>
      <c r="N17" s="390"/>
      <c r="O17" s="390"/>
      <c r="P17" s="390"/>
      <c r="Q17" s="390"/>
      <c r="R17" s="390"/>
      <c r="S17" s="390"/>
      <c r="T17" s="390"/>
      <c r="U17" s="390"/>
      <c r="V17" s="390"/>
      <c r="W17" s="390"/>
      <c r="X17" s="390"/>
      <c r="Y17" s="390"/>
      <c r="Z17" s="390"/>
      <c r="AA17" s="390"/>
      <c r="AB17" s="390"/>
      <c r="AC17" s="390"/>
      <c r="AD17" s="390"/>
      <c r="AE17" s="390"/>
      <c r="AF17" s="390"/>
      <c r="AG17" s="390"/>
      <c r="AH17" s="390"/>
    </row>
    <row r="18" spans="1:39">
      <c r="A18" t="s">
        <v>120</v>
      </c>
      <c r="B18" s="42" t="s">
        <v>563</v>
      </c>
      <c r="C18" s="43"/>
      <c r="D18" s="44"/>
      <c r="E18" s="36" t="s">
        <v>14</v>
      </c>
      <c r="F18" s="36" t="s">
        <v>13</v>
      </c>
      <c r="G18" s="36" t="str">
        <f>CONCATENATE(E18,F18)</f>
        <v>MISSIONManpower</v>
      </c>
      <c r="H18" s="60">
        <v>401000</v>
      </c>
      <c r="I18" s="65" t="s">
        <v>564</v>
      </c>
      <c r="J18" s="392">
        <f>SUMIF('APCO NEW'!$A:$A,'Price Table 8 APCO'!$A18,'APCO NEW'!G:G)</f>
        <v>0</v>
      </c>
      <c r="K18" s="392">
        <f>SUMIF('APCO NEW'!$A:$A,'Price Table 8 APCO'!$A18,'APCO NEW'!H:H)</f>
        <v>0</v>
      </c>
      <c r="L18" s="392">
        <f>SUMIF('APCO NEW'!$A:$A,'Price Table 8 APCO'!$A18,'APCO NEW'!I:I)</f>
        <v>0</v>
      </c>
      <c r="M18" s="392">
        <f>SUMIF('APCO NEW'!$A:$A,'Price Table 8 APCO'!$A18,'APCO NEW'!J:J)</f>
        <v>0</v>
      </c>
      <c r="N18" s="392">
        <f>SUMIF('APCO NEW'!$A:$A,'Price Table 8 APCO'!$A18,'APCO NEW'!K:K)</f>
        <v>0</v>
      </c>
      <c r="O18" s="392">
        <f>SUMIF('APCO NEW'!$A:$A,'Price Table 8 APCO'!$A18,'APCO NEW'!L:L)</f>
        <v>0</v>
      </c>
      <c r="P18" s="392">
        <f>SUMIF('APCO NEW'!$A:$A,'Price Table 8 APCO'!$A18,'APCO NEW'!M:M)</f>
        <v>0</v>
      </c>
      <c r="Q18" s="123">
        <f>SUMIF('APCO NEW'!$A:$A,'Price Table 8 APCO'!$A18,'APCO NEW'!N:N)</f>
        <v>0</v>
      </c>
      <c r="R18" s="123">
        <f>SUMIF('APCO NEW'!$A:$A,'Price Table 8 APCO'!$A18,'APCO NEW'!O:O)</f>
        <v>0</v>
      </c>
      <c r="S18" s="123">
        <f>SUMIF('APCO NEW'!$A:$A,'Price Table 8 APCO'!$A18,'APCO NEW'!P:P)</f>
        <v>0</v>
      </c>
      <c r="T18" s="123">
        <f>SUMIF('APCO NEW'!$A:$A,'Price Table 8 APCO'!$A18,'APCO NEW'!Q:Q)</f>
        <v>0</v>
      </c>
      <c r="U18" s="123">
        <f>SUMIF('APCO NEW'!$A:$A,'Price Table 8 APCO'!$A18,'APCO NEW'!R:R)</f>
        <v>0</v>
      </c>
      <c r="V18" s="123">
        <f>SUMIF('APCO NEW'!$A:$A,'Price Table 8 APCO'!$A18,'APCO NEW'!S:S)</f>
        <v>0</v>
      </c>
      <c r="W18" s="123">
        <f>SUMIF('APCO NEW'!$A:$A,'Price Table 8 APCO'!$A18,'APCO NEW'!T:T)</f>
        <v>0</v>
      </c>
      <c r="X18" s="123">
        <f>SUMIF('APCO NEW'!$A:$A,'Price Table 8 APCO'!$A18,'APCO NEW'!U:U)</f>
        <v>0</v>
      </c>
      <c r="Y18" s="391">
        <f>SUMIF('APCO NEW'!$A:$A,'Price Table 8 APCO'!$A18,'APCO NEW'!V:V)</f>
        <v>0</v>
      </c>
      <c r="Z18" s="392">
        <f>SUMIF('APCO NEW'!$A:$A,'Price Table 8 APCO'!$A18,'APCO NEW'!W:W)</f>
        <v>0</v>
      </c>
      <c r="AA18" s="392">
        <f>SUMIF('APCO NEW'!$A:$A,'Price Table 8 APCO'!$A18,'APCO NEW'!X:X)</f>
        <v>0</v>
      </c>
      <c r="AB18" s="392">
        <f>SUMIF('APCO NEW'!$A:$A,'Price Table 8 APCO'!$A18,'APCO NEW'!Y:Y)</f>
        <v>0</v>
      </c>
      <c r="AC18" s="392">
        <f>SUMIF('APCO NEW'!$A:$A,'Price Table 8 APCO'!$A18,'APCO NEW'!Z:Z)</f>
        <v>0</v>
      </c>
      <c r="AD18" s="392">
        <f>SUMIF('APCO NEW'!$A:$A,'Price Table 8 APCO'!$A18,'APCO NEW'!AA:AA)</f>
        <v>0</v>
      </c>
      <c r="AE18" s="392">
        <f>SUMIF('APCO NEW'!$A:$A,'Price Table 8 APCO'!$A18,'APCO NEW'!AB:AB)</f>
        <v>0</v>
      </c>
      <c r="AF18" s="392">
        <f>SUMIF('APCO NEW'!$A:$A,'Price Table 8 APCO'!$A18,'APCO NEW'!AC:AC)</f>
        <v>0</v>
      </c>
      <c r="AG18" s="392">
        <f>SUMIF('APCO NEW'!$A:$A,'Price Table 8 APCO'!$A18,'APCO NEW'!AD:AD)</f>
        <v>0</v>
      </c>
      <c r="AH18" s="115">
        <f t="shared" si="1"/>
        <v>0</v>
      </c>
    </row>
    <row r="19" spans="1:39">
      <c r="A19" s="16" t="s">
        <v>351</v>
      </c>
      <c r="B19" s="42" t="s">
        <v>565</v>
      </c>
      <c r="C19" s="43"/>
      <c r="D19" s="44"/>
      <c r="E19" s="36" t="s">
        <v>14</v>
      </c>
      <c r="F19" s="112" t="s">
        <v>13</v>
      </c>
      <c r="G19" s="36" t="str">
        <f>CONCATENATE(E19,F19)</f>
        <v>MISSIONManpower</v>
      </c>
      <c r="H19" s="94" t="s">
        <v>638</v>
      </c>
      <c r="I19" t="s">
        <v>567</v>
      </c>
      <c r="J19" s="123">
        <f>SUMIF('APCO NEW'!$A:$A,'Price Table 8 APCO'!$A19,'APCO NEW'!G:G)</f>
        <v>0</v>
      </c>
      <c r="K19" s="123">
        <f>SUMIF('APCO NEW'!$A:$A,'Price Table 8 APCO'!$A19,'APCO NEW'!H:H)</f>
        <v>0</v>
      </c>
      <c r="L19" s="123">
        <f>SUMIF('APCO NEW'!$A:$A,'Price Table 8 APCO'!$A19,'APCO NEW'!I:I)</f>
        <v>0</v>
      </c>
      <c r="M19" s="123">
        <f>SUMIF('APCO NEW'!$A:$A,'Price Table 8 APCO'!$A19,'APCO NEW'!J:J)</f>
        <v>0</v>
      </c>
      <c r="N19" s="123">
        <f>SUMIF('APCO NEW'!$A:$A,'Price Table 8 APCO'!$A19,'APCO NEW'!K:K)</f>
        <v>0</v>
      </c>
      <c r="O19" s="123">
        <f>SUMIF('APCO NEW'!$A:$A,'Price Table 8 APCO'!$A19,'APCO NEW'!L:L)</f>
        <v>0</v>
      </c>
      <c r="P19" s="123">
        <f>SUMIF('APCO NEW'!$A:$A,'Price Table 8 APCO'!$A19,'APCO NEW'!M:M)</f>
        <v>0</v>
      </c>
      <c r="Q19" s="123">
        <f>SUMIF('APCO NEW'!$A:$A,'Price Table 8 APCO'!$A19,'APCO NEW'!N:N)</f>
        <v>0</v>
      </c>
      <c r="R19" s="123">
        <f>SUMIF('APCO NEW'!$A:$A,'Price Table 8 APCO'!$A19,'APCO NEW'!O:O)</f>
        <v>0</v>
      </c>
      <c r="S19" s="123">
        <f>SUMIF('APCO NEW'!$A:$A,'Price Table 8 APCO'!$A19,'APCO NEW'!P:P)</f>
        <v>257.98605052816907</v>
      </c>
      <c r="T19" s="123">
        <f>SUMIF('APCO NEW'!$A:$A,'Price Table 8 APCO'!$A19,'APCO NEW'!Q:Q)</f>
        <v>257.98605052816907</v>
      </c>
      <c r="U19" s="123">
        <f>SUMIF('APCO NEW'!$A:$A,'Price Table 8 APCO'!$A19,'APCO NEW'!R:R)</f>
        <v>0</v>
      </c>
      <c r="V19" s="123">
        <f>SUMIF('APCO NEW'!$A:$A,'Price Table 8 APCO'!$A19,'APCO NEW'!S:S)</f>
        <v>0</v>
      </c>
      <c r="W19" s="123">
        <f>SUMIF('APCO NEW'!$A:$A,'Price Table 8 APCO'!$A19,'APCO NEW'!T:T)</f>
        <v>45.028285035211276</v>
      </c>
      <c r="X19" s="123">
        <f>SUMIF('APCO NEW'!$A:$A,'Price Table 8 APCO'!$A19,'APCO NEW'!U:U)</f>
        <v>45.028285035211276</v>
      </c>
      <c r="Y19" s="123">
        <f>SUMIF('APCO NEW'!$A:$A,'Price Table 8 APCO'!$A19,'APCO NEW'!V:V)</f>
        <v>0</v>
      </c>
      <c r="Z19" s="123">
        <f>SUMIF('APCO NEW'!$A:$A,'Price Table 8 APCO'!$A19,'APCO NEW'!W:W)</f>
        <v>0</v>
      </c>
      <c r="AA19" s="123">
        <f>SUMIF('APCO NEW'!$A:$A,'Price Table 8 APCO'!$A19,'APCO NEW'!X:X)</f>
        <v>0</v>
      </c>
      <c r="AB19" s="123">
        <f>SUMIF('APCO NEW'!$A:$A,'Price Table 8 APCO'!$A19,'APCO NEW'!Y:Y)</f>
        <v>0</v>
      </c>
      <c r="AC19" s="123">
        <f>SUMIF('APCO NEW'!$A:$A,'Price Table 8 APCO'!$A19,'APCO NEW'!Z:Z)</f>
        <v>0</v>
      </c>
      <c r="AD19" s="123">
        <f>SUMIF('APCO NEW'!$A:$A,'Price Table 8 APCO'!$A19,'APCO NEW'!AA:AA)</f>
        <v>0</v>
      </c>
      <c r="AE19" s="123">
        <f>SUMIF('APCO NEW'!$A:$A,'Price Table 8 APCO'!$A19,'APCO NEW'!AB:AB)</f>
        <v>0</v>
      </c>
      <c r="AF19" s="123">
        <f>SUMIF('APCO NEW'!$A:$A,'Price Table 8 APCO'!$A19,'APCO NEW'!AC:AC)</f>
        <v>0</v>
      </c>
      <c r="AG19" s="123">
        <f>SUMIF('APCO NEW'!$A:$A,'Price Table 8 APCO'!$A19,'APCO NEW'!AD:AD)</f>
        <v>0</v>
      </c>
      <c r="AH19" s="115">
        <f t="shared" si="1"/>
        <v>606.02867112676074</v>
      </c>
    </row>
    <row r="20" spans="1:39">
      <c r="A20" t="s">
        <v>356</v>
      </c>
      <c r="B20" s="42" t="s">
        <v>568</v>
      </c>
      <c r="C20" s="43"/>
      <c r="D20" s="44"/>
      <c r="E20" s="36" t="s">
        <v>14</v>
      </c>
      <c r="F20" s="36" t="s">
        <v>117</v>
      </c>
      <c r="G20" s="36" t="str">
        <f>CONCATENATE(E20,F20)</f>
        <v>MISSIONProcurement</v>
      </c>
      <c r="H20" s="60">
        <v>510000</v>
      </c>
      <c r="I20" t="s">
        <v>569</v>
      </c>
      <c r="J20" s="123">
        <f>SUMIF('APCO NEW'!$A:$A,'Price Table 8 APCO'!$A20,'APCO NEW'!G:G)</f>
        <v>0</v>
      </c>
      <c r="K20" s="123">
        <f>SUMIF('APCO NEW'!$A:$A,'Price Table 8 APCO'!$A20,'APCO NEW'!H:H)</f>
        <v>0</v>
      </c>
      <c r="L20" s="123">
        <f>SUMIF('APCO NEW'!$A:$A,'Price Table 8 APCO'!$A20,'APCO NEW'!I:I)</f>
        <v>0</v>
      </c>
      <c r="M20" s="123">
        <f>SUMIF('APCO NEW'!$A:$A,'Price Table 8 APCO'!$A20,'APCO NEW'!J:J)</f>
        <v>0</v>
      </c>
      <c r="N20" s="123">
        <f>SUMIF('APCO NEW'!$A:$A,'Price Table 8 APCO'!$A20,'APCO NEW'!K:K)</f>
        <v>0</v>
      </c>
      <c r="O20" s="123">
        <f>SUMIF('APCO NEW'!$A:$A,'Price Table 8 APCO'!$A20,'APCO NEW'!L:L)</f>
        <v>0</v>
      </c>
      <c r="P20" s="123">
        <f>SUMIF('APCO NEW'!$A:$A,'Price Table 8 APCO'!$A20,'APCO NEW'!M:M)</f>
        <v>0</v>
      </c>
      <c r="Q20" s="123">
        <f>SUMIF('APCO NEW'!$A:$A,'Price Table 8 APCO'!$A20,'APCO NEW'!N:N)</f>
        <v>0</v>
      </c>
      <c r="R20" s="123">
        <f>SUMIF('APCO NEW'!$A:$A,'Price Table 8 APCO'!$A20,'APCO NEW'!O:O)</f>
        <v>0</v>
      </c>
      <c r="S20" s="123">
        <f>SUMIF('APCO NEW'!$A:$A,'Price Table 8 APCO'!$A20,'APCO NEW'!P:P)</f>
        <v>0</v>
      </c>
      <c r="T20" s="123">
        <f>SUMIF('APCO NEW'!$A:$A,'Price Table 8 APCO'!$A20,'APCO NEW'!Q:Q)</f>
        <v>0</v>
      </c>
      <c r="U20" s="123">
        <f>SUMIF('APCO NEW'!$A:$A,'Price Table 8 APCO'!$A20,'APCO NEW'!R:R)</f>
        <v>0</v>
      </c>
      <c r="V20" s="123">
        <f>SUMIF('APCO NEW'!$A:$A,'Price Table 8 APCO'!$A20,'APCO NEW'!S:S)</f>
        <v>0</v>
      </c>
      <c r="W20" s="123">
        <f>SUMIF('APCO NEW'!$A:$A,'Price Table 8 APCO'!$A20,'APCO NEW'!T:T)</f>
        <v>0</v>
      </c>
      <c r="X20" s="123">
        <f>SUMIF('APCO NEW'!$A:$A,'Price Table 8 APCO'!$A20,'APCO NEW'!U:U)</f>
        <v>0</v>
      </c>
      <c r="Y20" s="391">
        <f>SUMIF('APCO NEW'!$A:$A,'Price Table 8 APCO'!$A20,'APCO NEW'!V:V)</f>
        <v>0</v>
      </c>
      <c r="Z20" s="123">
        <f>SUMIF('APCO NEW'!$A:$A,'Price Table 8 APCO'!$A20,'APCO NEW'!W:W)</f>
        <v>0</v>
      </c>
      <c r="AA20" s="123">
        <f>SUMIF('APCO NEW'!$A:$A,'Price Table 8 APCO'!$A20,'APCO NEW'!X:X)</f>
        <v>0</v>
      </c>
      <c r="AB20" s="123">
        <f>SUMIF('APCO NEW'!$A:$A,'Price Table 8 APCO'!$A20,'APCO NEW'!Y:Y)</f>
        <v>0</v>
      </c>
      <c r="AC20" s="123">
        <f>SUMIF('APCO NEW'!$A:$A,'Price Table 8 APCO'!$A20,'APCO NEW'!Z:Z)</f>
        <v>0</v>
      </c>
      <c r="AD20" s="123">
        <f>SUMIF('APCO NEW'!$A:$A,'Price Table 8 APCO'!$A20,'APCO NEW'!AA:AA)</f>
        <v>0</v>
      </c>
      <c r="AE20" s="123">
        <f>SUMIF('APCO NEW'!$A:$A,'Price Table 8 APCO'!$A20,'APCO NEW'!AB:AB)</f>
        <v>0</v>
      </c>
      <c r="AF20" s="123">
        <f>SUMIF('APCO NEW'!$A:$A,'Price Table 8 APCO'!$A20,'APCO NEW'!AC:AC)</f>
        <v>0</v>
      </c>
      <c r="AG20" s="123">
        <f>SUMIF('APCO NEW'!$A:$A,'Price Table 8 APCO'!$A20,'APCO NEW'!AD:AD)</f>
        <v>0</v>
      </c>
      <c r="AH20" s="115">
        <f t="shared" si="1"/>
        <v>0</v>
      </c>
    </row>
    <row r="21" spans="1:39" s="16" customFormat="1">
      <c r="B21" s="45"/>
      <c r="C21" s="55"/>
      <c r="D21" s="56" t="s">
        <v>562</v>
      </c>
      <c r="E21" s="57"/>
      <c r="F21" s="57"/>
      <c r="G21" s="57"/>
      <c r="H21" s="17"/>
    </row>
    <row r="22" spans="1:39">
      <c r="B22" s="46" t="s">
        <v>570</v>
      </c>
      <c r="C22" s="47"/>
      <c r="D22" s="41"/>
      <c r="H22"/>
    </row>
    <row r="23" spans="1:39">
      <c r="B23" s="48" t="s">
        <v>571</v>
      </c>
      <c r="C23" s="49"/>
      <c r="D23" s="50"/>
      <c r="H23"/>
    </row>
    <row r="24" spans="1:39">
      <c r="A24" t="s">
        <v>160</v>
      </c>
      <c r="B24" s="51" t="s">
        <v>572</v>
      </c>
      <c r="C24" s="43"/>
      <c r="D24" s="44"/>
      <c r="E24" s="36" t="s">
        <v>139</v>
      </c>
      <c r="F24" s="36" t="s">
        <v>13</v>
      </c>
      <c r="G24" s="36" t="str">
        <f>CONCATENATE(E24,F24)</f>
        <v>TECHManpower</v>
      </c>
      <c r="H24" s="16">
        <v>410000</v>
      </c>
      <c r="J24" s="28"/>
      <c r="K24" s="28"/>
      <c r="L24" s="28"/>
      <c r="M24" s="28"/>
      <c r="N24" s="28"/>
      <c r="O24" s="28"/>
      <c r="P24" s="28"/>
      <c r="Q24" s="28"/>
      <c r="R24" s="28"/>
      <c r="S24" s="28"/>
      <c r="T24" s="28"/>
      <c r="U24" s="28"/>
      <c r="V24" s="28"/>
      <c r="W24" s="28"/>
      <c r="X24" s="28"/>
      <c r="Y24" s="29"/>
      <c r="Z24" s="28"/>
      <c r="AA24" s="28"/>
      <c r="AB24" s="28"/>
      <c r="AC24" s="28"/>
      <c r="AD24" s="28"/>
      <c r="AE24" s="28"/>
      <c r="AF24" s="28"/>
      <c r="AG24" s="28"/>
      <c r="AH24">
        <f t="shared" si="1"/>
        <v>0</v>
      </c>
    </row>
    <row r="25" spans="1:39">
      <c r="A25" t="s">
        <v>573</v>
      </c>
      <c r="B25" s="51" t="s">
        <v>574</v>
      </c>
      <c r="C25" s="43"/>
      <c r="D25" s="44"/>
      <c r="E25" s="36" t="s">
        <v>14</v>
      </c>
      <c r="F25" s="36" t="s">
        <v>13</v>
      </c>
      <c r="G25" s="36" t="str">
        <f>CONCATENATE(E25,F25)</f>
        <v>MISSIONManpower</v>
      </c>
      <c r="H25" t="s">
        <v>639</v>
      </c>
      <c r="J25" s="28"/>
      <c r="K25" s="28"/>
      <c r="L25" s="28"/>
      <c r="M25" s="28"/>
      <c r="N25" s="28"/>
      <c r="O25" s="28"/>
      <c r="P25" s="28"/>
      <c r="Q25" s="28"/>
      <c r="R25" s="28"/>
      <c r="S25" s="28"/>
      <c r="T25" s="28"/>
      <c r="U25" s="28"/>
      <c r="V25" s="28"/>
      <c r="W25" s="28"/>
      <c r="X25" s="28"/>
      <c r="Y25" s="31"/>
      <c r="Z25" s="28"/>
      <c r="AA25" s="28"/>
      <c r="AB25" s="28"/>
      <c r="AC25" s="28"/>
      <c r="AD25" s="28"/>
      <c r="AE25" s="28"/>
      <c r="AF25" s="28"/>
      <c r="AG25" s="28"/>
      <c r="AH25">
        <f t="shared" si="1"/>
        <v>0</v>
      </c>
    </row>
    <row r="26" spans="1:39" s="16" customFormat="1">
      <c r="B26" s="45"/>
      <c r="C26" s="55"/>
      <c r="D26" s="56" t="s">
        <v>562</v>
      </c>
      <c r="E26" s="57"/>
      <c r="F26" s="57"/>
      <c r="G26" s="57"/>
      <c r="H26" s="17"/>
    </row>
    <row r="27" spans="1:39">
      <c r="B27" s="48" t="s">
        <v>575</v>
      </c>
      <c r="C27" s="52"/>
      <c r="D27" s="50"/>
      <c r="H27"/>
    </row>
    <row r="28" spans="1:39">
      <c r="A28" t="s">
        <v>180</v>
      </c>
      <c r="B28" s="51" t="s">
        <v>576</v>
      </c>
      <c r="C28" s="53"/>
      <c r="D28" s="44"/>
      <c r="E28" s="37" t="s">
        <v>14</v>
      </c>
      <c r="F28" s="36" t="s">
        <v>13</v>
      </c>
      <c r="G28" s="36" t="str">
        <f>CONCATENATE(E28,F28)</f>
        <v>MISSIONManpower</v>
      </c>
      <c r="H28" s="61">
        <v>430000</v>
      </c>
      <c r="I28" s="74" t="s">
        <v>577</v>
      </c>
      <c r="J28" s="28"/>
      <c r="K28" s="28"/>
      <c r="L28" s="28"/>
      <c r="M28" s="28"/>
      <c r="N28" s="28"/>
      <c r="O28" s="28"/>
      <c r="P28" s="28"/>
      <c r="Q28" s="28"/>
      <c r="R28" s="28"/>
      <c r="S28" s="28"/>
      <c r="T28" s="28"/>
      <c r="U28" s="28"/>
      <c r="V28" s="28"/>
      <c r="W28" s="28"/>
      <c r="X28" s="28"/>
      <c r="Y28" s="32"/>
      <c r="Z28" s="28"/>
      <c r="AA28" s="28"/>
      <c r="AB28" s="28"/>
      <c r="AC28" s="28"/>
      <c r="AD28" s="28"/>
      <c r="AE28" s="28"/>
      <c r="AF28" s="28"/>
      <c r="AG28" s="28"/>
      <c r="AH28">
        <f t="shared" si="1"/>
        <v>0</v>
      </c>
    </row>
    <row r="29" spans="1:39">
      <c r="A29" t="s">
        <v>578</v>
      </c>
      <c r="B29" s="51" t="s">
        <v>579</v>
      </c>
      <c r="C29" s="53"/>
      <c r="D29" s="44"/>
      <c r="E29" s="37" t="s">
        <v>14</v>
      </c>
      <c r="F29" s="36" t="s">
        <v>117</v>
      </c>
      <c r="G29" s="36" t="str">
        <f>CONCATENATE(E29,F29)</f>
        <v>MISSIONProcurement</v>
      </c>
      <c r="H29" s="16">
        <v>430000</v>
      </c>
      <c r="I29" s="74" t="s">
        <v>577</v>
      </c>
      <c r="J29" s="28"/>
      <c r="K29" s="28"/>
      <c r="L29" s="28"/>
      <c r="M29" s="28"/>
      <c r="N29" s="28"/>
      <c r="O29" s="28"/>
      <c r="P29" s="28"/>
      <c r="Q29" s="28"/>
      <c r="R29" s="28"/>
      <c r="S29" s="28"/>
      <c r="T29" s="28"/>
      <c r="U29" s="28"/>
      <c r="V29" s="28"/>
      <c r="W29" s="28"/>
      <c r="X29" s="28"/>
      <c r="Y29" s="29"/>
      <c r="Z29" s="28"/>
      <c r="AA29" s="28"/>
      <c r="AB29" s="28"/>
      <c r="AC29" s="28"/>
      <c r="AD29" s="28"/>
      <c r="AE29" s="28"/>
      <c r="AF29" s="28"/>
      <c r="AG29" s="28"/>
      <c r="AH29">
        <f t="shared" si="1"/>
        <v>0</v>
      </c>
    </row>
    <row r="30" spans="1:39" s="16" customFormat="1">
      <c r="B30" s="45"/>
      <c r="C30" s="55"/>
      <c r="D30" s="56" t="s">
        <v>562</v>
      </c>
      <c r="E30" s="57"/>
      <c r="F30" s="57"/>
      <c r="G30" s="57"/>
      <c r="H30" s="17"/>
    </row>
    <row r="31" spans="1:39">
      <c r="B31" s="48" t="s">
        <v>580</v>
      </c>
      <c r="C31" s="52"/>
      <c r="D31" s="50"/>
      <c r="E31" s="37"/>
      <c r="F31" s="37"/>
      <c r="G31" s="37"/>
      <c r="H31" s="62"/>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row>
    <row r="32" spans="1:39">
      <c r="A32" t="s">
        <v>173</v>
      </c>
      <c r="B32" s="51" t="s">
        <v>581</v>
      </c>
      <c r="C32" s="53"/>
      <c r="D32" s="44"/>
      <c r="E32" s="37" t="s">
        <v>14</v>
      </c>
      <c r="F32" s="36" t="s">
        <v>13</v>
      </c>
      <c r="G32" s="36" t="str">
        <f>CONCATENATE(E32,F32)</f>
        <v>MISSIONManpower</v>
      </c>
      <c r="H32" s="61">
        <v>420000</v>
      </c>
      <c r="I32" s="74" t="s">
        <v>577</v>
      </c>
      <c r="J32" s="28"/>
      <c r="K32" s="28"/>
      <c r="L32" s="28"/>
      <c r="M32" s="28"/>
      <c r="N32" s="28"/>
      <c r="O32" s="28"/>
      <c r="P32" s="28"/>
      <c r="Q32" s="28"/>
      <c r="R32" s="28"/>
      <c r="S32" s="28"/>
      <c r="T32" s="28"/>
      <c r="U32" s="28"/>
      <c r="V32" s="28"/>
      <c r="W32" s="28"/>
      <c r="X32" s="28"/>
      <c r="Y32" s="32"/>
      <c r="Z32" s="28"/>
      <c r="AA32" s="28"/>
      <c r="AB32" s="28"/>
      <c r="AC32" s="28"/>
      <c r="AD32" s="28"/>
      <c r="AE32" s="28"/>
      <c r="AF32" s="28"/>
      <c r="AG32" s="28"/>
      <c r="AH32">
        <f t="shared" si="1"/>
        <v>0</v>
      </c>
    </row>
    <row r="33" spans="1:35">
      <c r="A33" t="s">
        <v>582</v>
      </c>
      <c r="B33" s="51" t="s">
        <v>583</v>
      </c>
      <c r="C33" s="53"/>
      <c r="D33" s="44"/>
      <c r="E33" s="37" t="s">
        <v>14</v>
      </c>
      <c r="F33" s="36" t="s">
        <v>117</v>
      </c>
      <c r="G33" s="36" t="str">
        <f>CONCATENATE(E33,F33)</f>
        <v>MISSIONProcurement</v>
      </c>
      <c r="H33" s="61">
        <v>420000</v>
      </c>
      <c r="I33" s="74" t="s">
        <v>577</v>
      </c>
      <c r="J33" s="28"/>
      <c r="K33" s="28"/>
      <c r="L33" s="28"/>
      <c r="M33" s="28"/>
      <c r="N33" s="28"/>
      <c r="O33" s="28"/>
      <c r="P33" s="28"/>
      <c r="Q33" s="28"/>
      <c r="R33" s="28"/>
      <c r="S33" s="28"/>
      <c r="T33" s="28"/>
      <c r="U33" s="28"/>
      <c r="V33" s="28"/>
      <c r="W33" s="28"/>
      <c r="X33" s="28"/>
      <c r="Y33" s="32"/>
      <c r="Z33" s="28"/>
      <c r="AA33" s="28"/>
      <c r="AB33" s="28"/>
      <c r="AC33" s="28"/>
      <c r="AD33" s="28"/>
      <c r="AE33" s="28"/>
      <c r="AF33" s="28"/>
      <c r="AG33" s="28"/>
      <c r="AH33">
        <f t="shared" si="1"/>
        <v>0</v>
      </c>
    </row>
    <row r="34" spans="1:35" s="16" customFormat="1">
      <c r="B34" s="45"/>
      <c r="C34" s="55"/>
      <c r="D34" s="56" t="s">
        <v>562</v>
      </c>
      <c r="E34" s="57"/>
      <c r="F34" s="57"/>
      <c r="G34" s="57"/>
      <c r="H34" s="17"/>
    </row>
    <row r="35" spans="1:35">
      <c r="B35" s="48" t="s">
        <v>584</v>
      </c>
      <c r="C35" s="52"/>
      <c r="D35" s="50"/>
      <c r="H35"/>
    </row>
    <row r="36" spans="1:35">
      <c r="A36" t="s">
        <v>187</v>
      </c>
      <c r="B36" s="51" t="s">
        <v>585</v>
      </c>
      <c r="C36" s="53"/>
      <c r="D36" s="44"/>
      <c r="E36" s="37" t="s">
        <v>14</v>
      </c>
      <c r="F36" s="36" t="s">
        <v>13</v>
      </c>
      <c r="G36" s="36" t="str">
        <f>CONCATENATE(E36,F36)</f>
        <v>MISSIONManpower</v>
      </c>
      <c r="H36" s="61">
        <v>440000</v>
      </c>
      <c r="I36" t="s">
        <v>586</v>
      </c>
      <c r="J36" s="28"/>
      <c r="K36" s="28"/>
      <c r="L36" s="28"/>
      <c r="M36" s="28"/>
      <c r="N36" s="28"/>
      <c r="O36" s="28"/>
      <c r="P36" s="28"/>
      <c r="Q36" s="28"/>
      <c r="R36" s="28"/>
      <c r="S36" s="28"/>
      <c r="T36" s="28"/>
      <c r="U36" s="28"/>
      <c r="V36" s="28"/>
      <c r="W36" s="28"/>
      <c r="X36" s="28"/>
      <c r="Y36" s="32"/>
      <c r="Z36" s="28"/>
      <c r="AA36" s="28"/>
      <c r="AB36" s="28"/>
      <c r="AC36" s="28"/>
      <c r="AD36" s="28"/>
      <c r="AE36" s="28"/>
      <c r="AF36" s="28"/>
      <c r="AG36" s="28"/>
      <c r="AH36">
        <f t="shared" si="1"/>
        <v>0</v>
      </c>
    </row>
    <row r="37" spans="1:35">
      <c r="A37" t="s">
        <v>587</v>
      </c>
      <c r="B37" s="51" t="s">
        <v>588</v>
      </c>
      <c r="C37" s="53"/>
      <c r="D37" s="44"/>
      <c r="E37" s="37" t="s">
        <v>14</v>
      </c>
      <c r="F37" s="36" t="s">
        <v>117</v>
      </c>
      <c r="G37" s="36" t="str">
        <f>CONCATENATE(E37,F37)</f>
        <v>MISSIONProcurement</v>
      </c>
      <c r="H37"/>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f t="shared" si="1"/>
        <v>0</v>
      </c>
    </row>
    <row r="38" spans="1:35" s="16" customFormat="1">
      <c r="B38" s="45"/>
      <c r="C38" s="55"/>
      <c r="D38" s="56" t="s">
        <v>562</v>
      </c>
      <c r="E38" s="57"/>
      <c r="F38" s="57"/>
      <c r="G38" s="57"/>
      <c r="H38" s="17"/>
    </row>
    <row r="39" spans="1:35">
      <c r="B39" s="48" t="s">
        <v>589</v>
      </c>
      <c r="C39" s="49"/>
      <c r="D39" s="50"/>
      <c r="H39"/>
    </row>
    <row r="40" spans="1:35">
      <c r="A40" t="s">
        <v>204</v>
      </c>
      <c r="B40" s="51" t="s">
        <v>590</v>
      </c>
      <c r="C40" s="53"/>
      <c r="D40" s="44"/>
      <c r="E40" s="36" t="s">
        <v>14</v>
      </c>
      <c r="F40" s="36" t="s">
        <v>13</v>
      </c>
      <c r="G40" s="36" t="str">
        <f>CONCATENATE(E40,F40)</f>
        <v>MISSIONManpower</v>
      </c>
      <c r="H40" s="61">
        <v>450000</v>
      </c>
      <c r="I40" s="66" t="s">
        <v>591</v>
      </c>
      <c r="J40" s="28"/>
      <c r="K40" s="28"/>
      <c r="L40" s="28"/>
      <c r="M40" s="28"/>
      <c r="N40" s="28"/>
      <c r="O40" s="28"/>
      <c r="P40" s="28"/>
      <c r="Q40" s="28"/>
      <c r="R40" s="28"/>
      <c r="S40" s="28"/>
      <c r="T40" s="28"/>
      <c r="U40" s="28"/>
      <c r="V40" s="28"/>
      <c r="W40" s="28"/>
      <c r="X40" s="28"/>
      <c r="Y40" s="32"/>
      <c r="Z40" s="28"/>
      <c r="AA40" s="28"/>
      <c r="AB40" s="28"/>
      <c r="AC40" s="28"/>
      <c r="AD40" s="28"/>
      <c r="AE40" s="28"/>
      <c r="AF40" s="28"/>
      <c r="AG40" s="28"/>
      <c r="AH40">
        <f t="shared" si="1"/>
        <v>0</v>
      </c>
    </row>
    <row r="41" spans="1:35">
      <c r="A41" t="s">
        <v>592</v>
      </c>
      <c r="B41" s="51" t="s">
        <v>593</v>
      </c>
      <c r="C41" s="53"/>
      <c r="D41" s="44"/>
      <c r="E41" s="36" t="s">
        <v>14</v>
      </c>
      <c r="F41" s="36" t="s">
        <v>117</v>
      </c>
      <c r="G41" s="36" t="str">
        <f>CONCATENATE(E41,F41)</f>
        <v>MISSIONProcurement</v>
      </c>
      <c r="H41"/>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f t="shared" si="1"/>
        <v>0</v>
      </c>
    </row>
    <row r="42" spans="1:35" s="16" customFormat="1">
      <c r="B42" s="45"/>
      <c r="C42" s="55"/>
      <c r="D42" s="56" t="s">
        <v>562</v>
      </c>
      <c r="E42" s="57"/>
      <c r="F42" s="57"/>
      <c r="G42" s="57"/>
      <c r="H42" s="17"/>
    </row>
    <row r="43" spans="1:35">
      <c r="B43" s="48" t="s">
        <v>157</v>
      </c>
      <c r="C43" s="52"/>
      <c r="D43" s="50"/>
      <c r="H43"/>
    </row>
    <row r="44" spans="1:35">
      <c r="A44" t="s">
        <v>275</v>
      </c>
      <c r="B44" s="51" t="s">
        <v>594</v>
      </c>
      <c r="C44" s="53"/>
      <c r="D44" s="44"/>
      <c r="E44" s="37" t="s">
        <v>14</v>
      </c>
      <c r="F44" s="36" t="s">
        <v>13</v>
      </c>
      <c r="G44" s="36" t="str">
        <f>CONCATENATE(E44,F44)</f>
        <v>MISSIONManpower</v>
      </c>
      <c r="H44" s="16">
        <v>470000</v>
      </c>
      <c r="I44" t="s">
        <v>595</v>
      </c>
      <c r="J44" s="28"/>
      <c r="K44" s="28"/>
      <c r="L44" s="28"/>
      <c r="M44" s="28"/>
      <c r="N44" s="28"/>
      <c r="O44" s="28"/>
      <c r="P44" s="28"/>
      <c r="Q44" s="28"/>
      <c r="R44" s="28"/>
      <c r="S44" s="28"/>
      <c r="T44" s="28"/>
      <c r="U44" s="28"/>
      <c r="V44" s="28"/>
      <c r="W44" s="28"/>
      <c r="X44" s="28"/>
      <c r="Y44" s="29"/>
      <c r="Z44" s="28"/>
      <c r="AA44" s="28"/>
      <c r="AB44" s="28"/>
      <c r="AC44" s="28"/>
      <c r="AD44" s="28"/>
      <c r="AE44" s="28"/>
      <c r="AF44" s="28"/>
      <c r="AG44" s="28"/>
      <c r="AH44">
        <f t="shared" si="1"/>
        <v>0</v>
      </c>
    </row>
    <row r="45" spans="1:35">
      <c r="A45" t="s">
        <v>596</v>
      </c>
      <c r="B45" s="51" t="s">
        <v>597</v>
      </c>
      <c r="C45" s="53"/>
      <c r="D45" s="44"/>
      <c r="E45" s="37" t="s">
        <v>14</v>
      </c>
      <c r="F45" s="36" t="s">
        <v>117</v>
      </c>
      <c r="G45" s="36" t="str">
        <f>CONCATENATE(E45,F45)</f>
        <v>MISSIONProcurement</v>
      </c>
      <c r="H45" s="16">
        <v>470000</v>
      </c>
      <c r="I45" t="s">
        <v>595</v>
      </c>
      <c r="J45" s="28"/>
      <c r="K45" s="28"/>
      <c r="L45" s="28"/>
      <c r="M45" s="28"/>
      <c r="N45" s="28"/>
      <c r="O45" s="28"/>
      <c r="P45" s="28"/>
      <c r="Q45" s="28"/>
      <c r="R45" s="28"/>
      <c r="S45" s="28"/>
      <c r="T45" s="28"/>
      <c r="U45" s="28"/>
      <c r="V45" s="28"/>
      <c r="W45" s="28"/>
      <c r="X45" s="28"/>
      <c r="Y45" s="29"/>
      <c r="Z45" s="28"/>
      <c r="AA45" s="28"/>
      <c r="AB45" s="28"/>
      <c r="AC45" s="28"/>
      <c r="AD45" s="28"/>
      <c r="AE45" s="28"/>
      <c r="AF45" s="28"/>
      <c r="AG45" s="28"/>
      <c r="AH45">
        <f t="shared" si="1"/>
        <v>0</v>
      </c>
    </row>
    <row r="46" spans="1:35" s="16" customFormat="1">
      <c r="B46" s="45"/>
      <c r="C46" s="55"/>
      <c r="D46" s="56" t="s">
        <v>562</v>
      </c>
      <c r="E46" s="57"/>
      <c r="F46" s="57"/>
      <c r="G46" s="57"/>
    </row>
    <row r="47" spans="1:35">
      <c r="B47" s="48" t="s">
        <v>598</v>
      </c>
      <c r="C47" s="52"/>
      <c r="D47" s="50"/>
      <c r="H47"/>
    </row>
    <row r="48" spans="1:35">
      <c r="A48" s="16" t="s">
        <v>321</v>
      </c>
      <c r="B48" s="51" t="s">
        <v>599</v>
      </c>
      <c r="C48" s="53"/>
      <c r="D48" s="44"/>
      <c r="E48" s="36" t="s">
        <v>139</v>
      </c>
      <c r="F48" s="36" t="s">
        <v>13</v>
      </c>
      <c r="G48" s="36" t="str">
        <f>CONCATENATE(E48,F48)</f>
        <v>TECHManpower</v>
      </c>
      <c r="H48" t="s">
        <v>600</v>
      </c>
      <c r="I48" s="65" t="s">
        <v>601</v>
      </c>
      <c r="J48" s="123">
        <f>SUMIF('APCO NEW'!$A:$A,'Price Table 8 APCO'!$A48,'APCO NEW'!G:G)</f>
        <v>0</v>
      </c>
      <c r="K48" s="123">
        <f>SUMIF('APCO NEW'!$A:$A,'Price Table 8 APCO'!$A48,'APCO NEW'!H:H)</f>
        <v>0</v>
      </c>
      <c r="L48" s="123">
        <f>SUMIF('APCO NEW'!$A:$A,'Price Table 8 APCO'!$A48,'APCO NEW'!I:I)</f>
        <v>223.6838137764085</v>
      </c>
      <c r="M48" s="123">
        <f>SUMIF('APCO NEW'!$A:$A,'Price Table 8 APCO'!$A48,'APCO NEW'!J:J)</f>
        <v>223.6838137764085</v>
      </c>
      <c r="N48" s="123">
        <f>SUMIF('APCO NEW'!$A:$A,'Price Table 8 APCO'!$A48,'APCO NEW'!K:K)</f>
        <v>107.91576166373241</v>
      </c>
      <c r="O48" s="123">
        <f>SUMIF('APCO NEW'!$A:$A,'Price Table 8 APCO'!$A48,'APCO NEW'!L:L)</f>
        <v>107.91576166373241</v>
      </c>
      <c r="P48" s="123">
        <f>SUMIF('APCO NEW'!$A:$A,'Price Table 8 APCO'!$A48,'APCO NEW'!M:M)</f>
        <v>417.37070004401426</v>
      </c>
      <c r="Q48" s="123">
        <f>SUMIF('APCO NEW'!$A:$A,'Price Table 8 APCO'!$A48,'APCO NEW'!N:N)</f>
        <v>334.77928772007056</v>
      </c>
      <c r="R48" s="123">
        <f>SUMIF('APCO NEW'!$A:$A,'Price Table 8 APCO'!$A48,'APCO NEW'!O:O)</f>
        <v>25.324349339788736</v>
      </c>
      <c r="S48" s="123">
        <f>SUMIF('APCO NEW'!$A:$A,'Price Table 8 APCO'!$A48,'APCO NEW'!P:P)</f>
        <v>111.49526289612677</v>
      </c>
      <c r="T48" s="123">
        <f>SUMIF('APCO NEW'!$A:$A,'Price Table 8 APCO'!$A48,'APCO NEW'!Q:Q)</f>
        <v>111.49526289612677</v>
      </c>
      <c r="U48" s="123">
        <f>SUMIF('APCO NEW'!$A:$A,'Price Table 8 APCO'!$A48,'APCO NEW'!R:R)</f>
        <v>25.324349339788736</v>
      </c>
      <c r="V48" s="123">
        <f>SUMIF('APCO NEW'!$A:$A,'Price Table 8 APCO'!$A48,'APCO NEW'!S:S)</f>
        <v>25.324349339788736</v>
      </c>
      <c r="W48" s="123">
        <f>SUMIF('APCO NEW'!$A:$A,'Price Table 8 APCO'!$A48,'APCO NEW'!T:T)</f>
        <v>25.324349339788736</v>
      </c>
      <c r="X48" s="123">
        <f>SUMIF('APCO NEW'!$A:$A,'Price Table 8 APCO'!$A48,'APCO NEW'!U:U)</f>
        <v>25.324349339788736</v>
      </c>
      <c r="Y48" s="123">
        <f>SUMIF('APCO NEW'!$A:$A,'Price Table 8 APCO'!$A48,'APCO NEW'!V:V)</f>
        <v>25.324349339788736</v>
      </c>
      <c r="Z48" s="123">
        <f>SUMIF('APCO NEW'!$A:$A,'Price Table 8 APCO'!$A48,'APCO NEW'!W:W)</f>
        <v>25.324349339788736</v>
      </c>
      <c r="AA48" s="123">
        <f>SUMIF('APCO NEW'!$A:$A,'Price Table 8 APCO'!$A48,'APCO NEW'!X:X)</f>
        <v>25.324349339788736</v>
      </c>
      <c r="AB48" s="123">
        <f>SUMIF('APCO NEW'!$A:$A,'Price Table 8 APCO'!$A48,'APCO NEW'!Y:Y)</f>
        <v>0</v>
      </c>
      <c r="AC48" s="123">
        <f>SUMIF('APCO NEW'!$A:$A,'Price Table 8 APCO'!$A48,'APCO NEW'!Z:Z)</f>
        <v>0</v>
      </c>
      <c r="AD48" s="123">
        <f>SUMIF('APCO NEW'!$A:$A,'Price Table 8 APCO'!$A48,'APCO NEW'!AA:AA)</f>
        <v>0</v>
      </c>
      <c r="AE48" s="123">
        <f>SUMIF('APCO NEW'!$A:$A,'Price Table 8 APCO'!$A48,'APCO NEW'!AB:AB)</f>
        <v>0</v>
      </c>
      <c r="AF48" s="123">
        <f>SUMIF('APCO NEW'!$A:$A,'Price Table 8 APCO'!$A48,'APCO NEW'!AC:AC)</f>
        <v>0</v>
      </c>
      <c r="AG48" s="123">
        <f>SUMIF('APCO NEW'!$A:$A,'Price Table 8 APCO'!$A48,'APCO NEW'!AD:AD)</f>
        <v>0</v>
      </c>
      <c r="AH48" s="115">
        <f t="shared" si="1"/>
        <v>1840.9344591549307</v>
      </c>
      <c r="AI48" s="115"/>
    </row>
    <row r="49" spans="1:35">
      <c r="A49" s="16" t="s">
        <v>602</v>
      </c>
      <c r="B49" s="51" t="s">
        <v>603</v>
      </c>
      <c r="C49" s="53"/>
      <c r="D49" s="44"/>
      <c r="E49" s="36" t="s">
        <v>139</v>
      </c>
      <c r="F49" s="36" t="s">
        <v>117</v>
      </c>
      <c r="G49" s="36" t="str">
        <f>CONCATENATE(E49,F49)</f>
        <v>TECHProcurement</v>
      </c>
      <c r="H49" t="s">
        <v>600</v>
      </c>
      <c r="I49" s="65" t="s">
        <v>601</v>
      </c>
      <c r="J49" s="123">
        <f>SUMIF('APCO NEW'!$A:$A,'Price Table 8 APCO'!$A49,'APCO NEW'!G:G)</f>
        <v>0</v>
      </c>
      <c r="K49" s="123">
        <f>SUMIF('APCO NEW'!$A:$A,'Price Table 8 APCO'!$A49,'APCO NEW'!H:H)</f>
        <v>0</v>
      </c>
      <c r="L49" s="123">
        <f>SUMIF('APCO NEW'!$A:$A,'Price Table 8 APCO'!$A49,'APCO NEW'!I:I)</f>
        <v>0</v>
      </c>
      <c r="M49" s="123">
        <f>SUMIF('APCO NEW'!$A:$A,'Price Table 8 APCO'!$A49,'APCO NEW'!J:J)</f>
        <v>0</v>
      </c>
      <c r="N49" s="123">
        <f>SUMIF('APCO NEW'!$A:$A,'Price Table 8 APCO'!$A49,'APCO NEW'!K:K)</f>
        <v>0</v>
      </c>
      <c r="O49" s="123">
        <f>SUMIF('APCO NEW'!$A:$A,'Price Table 8 APCO'!$A49,'APCO NEW'!L:L)</f>
        <v>332.61971830985925</v>
      </c>
      <c r="P49" s="123">
        <f>SUMIF('APCO NEW'!$A:$A,'Price Table 8 APCO'!$A49,'APCO NEW'!M:M)</f>
        <v>332.61971830985925</v>
      </c>
      <c r="Q49" s="123">
        <f>SUMIF('APCO NEW'!$A:$A,'Price Table 8 APCO'!$A49,'APCO NEW'!N:N)</f>
        <v>332.61971830985925</v>
      </c>
      <c r="R49" s="123">
        <f>SUMIF('APCO NEW'!$A:$A,'Price Table 8 APCO'!$A49,'APCO NEW'!O:O)</f>
        <v>0</v>
      </c>
      <c r="S49" s="123">
        <f>SUMIF('APCO NEW'!$A:$A,'Price Table 8 APCO'!$A49,'APCO NEW'!P:P)</f>
        <v>0</v>
      </c>
      <c r="T49" s="123">
        <f>SUMIF('APCO NEW'!$A:$A,'Price Table 8 APCO'!$A49,'APCO NEW'!Q:Q)</f>
        <v>47.535211267605639</v>
      </c>
      <c r="U49" s="123">
        <f>SUMIF('APCO NEW'!$A:$A,'Price Table 8 APCO'!$A49,'APCO NEW'!R:R)</f>
        <v>0</v>
      </c>
      <c r="V49" s="123">
        <f>SUMIF('APCO NEW'!$A:$A,'Price Table 8 APCO'!$A49,'APCO NEW'!S:S)</f>
        <v>0</v>
      </c>
      <c r="W49" s="123">
        <f>SUMIF('APCO NEW'!$A:$A,'Price Table 8 APCO'!$A49,'APCO NEW'!T:T)</f>
        <v>0</v>
      </c>
      <c r="X49" s="123">
        <f>SUMIF('APCO NEW'!$A:$A,'Price Table 8 APCO'!$A49,'APCO NEW'!U:U)</f>
        <v>0</v>
      </c>
      <c r="Y49" s="123">
        <f>SUMIF('APCO NEW'!$A:$A,'Price Table 8 APCO'!$A49,'APCO NEW'!V:V)</f>
        <v>0</v>
      </c>
      <c r="Z49" s="123">
        <f>SUMIF('APCO NEW'!$A:$A,'Price Table 8 APCO'!$A49,'APCO NEW'!W:W)</f>
        <v>0</v>
      </c>
      <c r="AA49" s="123">
        <f>SUMIF('APCO NEW'!$A:$A,'Price Table 8 APCO'!$A49,'APCO NEW'!X:X)</f>
        <v>0</v>
      </c>
      <c r="AB49" s="123">
        <f>SUMIF('APCO NEW'!$A:$A,'Price Table 8 APCO'!$A49,'APCO NEW'!Y:Y)</f>
        <v>0</v>
      </c>
      <c r="AC49" s="123">
        <f>SUMIF('APCO NEW'!$A:$A,'Price Table 8 APCO'!$A49,'APCO NEW'!Z:Z)</f>
        <v>0</v>
      </c>
      <c r="AD49" s="123">
        <f>SUMIF('APCO NEW'!$A:$A,'Price Table 8 APCO'!$A49,'APCO NEW'!AA:AA)</f>
        <v>0</v>
      </c>
      <c r="AE49" s="123">
        <f>SUMIF('APCO NEW'!$A:$A,'Price Table 8 APCO'!$A49,'APCO NEW'!AB:AB)</f>
        <v>0</v>
      </c>
      <c r="AF49" s="123">
        <f>SUMIF('APCO NEW'!$A:$A,'Price Table 8 APCO'!$A49,'APCO NEW'!AC:AC)</f>
        <v>0</v>
      </c>
      <c r="AG49" s="123">
        <f>SUMIF('APCO NEW'!$A:$A,'Price Table 8 APCO'!$A49,'APCO NEW'!AD:AD)</f>
        <v>0</v>
      </c>
      <c r="AH49" s="115">
        <f t="shared" si="1"/>
        <v>1045.3943661971834</v>
      </c>
      <c r="AI49" s="115"/>
    </row>
    <row r="50" spans="1:35" s="16" customFormat="1">
      <c r="B50" s="45"/>
      <c r="C50" s="55"/>
      <c r="D50" s="56" t="s">
        <v>562</v>
      </c>
      <c r="E50" s="57"/>
      <c r="F50" s="57"/>
      <c r="G50" s="57"/>
      <c r="H50"/>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row>
    <row r="51" spans="1:35">
      <c r="B51" s="48" t="s">
        <v>604</v>
      </c>
      <c r="C51" s="52"/>
      <c r="D51" s="50"/>
      <c r="H51"/>
    </row>
    <row r="52" spans="1:35">
      <c r="A52" t="s">
        <v>336</v>
      </c>
      <c r="B52" s="51" t="s">
        <v>605</v>
      </c>
      <c r="C52" s="53"/>
      <c r="D52" s="44"/>
      <c r="E52" s="36" t="s">
        <v>139</v>
      </c>
      <c r="F52" s="36" t="s">
        <v>13</v>
      </c>
      <c r="G52" s="36" t="str">
        <f>CONCATENATE(E52,F52)</f>
        <v>TECHManpower</v>
      </c>
      <c r="H52">
        <v>490600</v>
      </c>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f t="shared" si="1"/>
        <v>0</v>
      </c>
    </row>
    <row r="53" spans="1:35">
      <c r="A53" t="s">
        <v>606</v>
      </c>
      <c r="B53" s="51" t="s">
        <v>607</v>
      </c>
      <c r="C53" s="53"/>
      <c r="D53" s="44"/>
      <c r="E53" s="36" t="s">
        <v>139</v>
      </c>
      <c r="F53" s="36" t="s">
        <v>117</v>
      </c>
      <c r="G53" s="36" t="str">
        <f>CONCATENATE(E53,F53)</f>
        <v>TECHProcurement</v>
      </c>
      <c r="H53">
        <v>490600</v>
      </c>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f t="shared" si="1"/>
        <v>0</v>
      </c>
    </row>
    <row r="54" spans="1:35" s="16" customFormat="1">
      <c r="B54" s="45"/>
      <c r="C54" s="55"/>
      <c r="D54" s="56" t="s">
        <v>562</v>
      </c>
      <c r="E54" s="57"/>
      <c r="F54" s="57"/>
      <c r="G54" s="57"/>
      <c r="H54"/>
    </row>
    <row r="55" spans="1:35">
      <c r="B55" s="48" t="s">
        <v>642</v>
      </c>
      <c r="C55" s="52"/>
      <c r="D55" s="50"/>
      <c r="H55"/>
    </row>
    <row r="56" spans="1:35">
      <c r="A56" t="s">
        <v>331</v>
      </c>
      <c r="B56" s="51" t="s">
        <v>609</v>
      </c>
      <c r="C56" s="53"/>
      <c r="D56" s="44"/>
      <c r="E56" s="37" t="s">
        <v>14</v>
      </c>
      <c r="F56" s="36" t="s">
        <v>117</v>
      </c>
      <c r="G56" s="36" t="str">
        <f>CONCATENATE(E56,F56)</f>
        <v>MISSIONProcurement</v>
      </c>
      <c r="H56" s="16">
        <v>490540</v>
      </c>
      <c r="J56" s="28"/>
      <c r="K56" s="28"/>
      <c r="L56" s="28"/>
      <c r="M56" s="28"/>
      <c r="N56" s="28"/>
      <c r="O56" s="28"/>
      <c r="P56" s="28"/>
      <c r="Q56" s="28"/>
      <c r="R56" s="28"/>
      <c r="S56" s="28"/>
      <c r="T56" s="28"/>
      <c r="U56" s="28"/>
      <c r="V56" s="28"/>
      <c r="W56" s="28"/>
      <c r="X56" s="28"/>
      <c r="Y56" s="29"/>
      <c r="Z56" s="28"/>
      <c r="AA56" s="28"/>
      <c r="AB56" s="28"/>
      <c r="AC56" s="28"/>
      <c r="AD56" s="28"/>
      <c r="AE56" s="28"/>
      <c r="AF56" s="28"/>
      <c r="AG56" s="28"/>
      <c r="AH56">
        <f t="shared" si="1"/>
        <v>0</v>
      </c>
    </row>
    <row r="57" spans="1:35" s="16" customFormat="1">
      <c r="B57" s="45"/>
      <c r="C57" s="55"/>
      <c r="D57" s="56" t="s">
        <v>562</v>
      </c>
      <c r="E57" s="57"/>
      <c r="F57" s="57"/>
      <c r="G57" s="57"/>
      <c r="H57" s="17"/>
    </row>
    <row r="58" spans="1:35">
      <c r="B58" s="46" t="s">
        <v>611</v>
      </c>
      <c r="C58" s="47"/>
      <c r="D58" s="41"/>
      <c r="H58"/>
    </row>
    <row r="59" spans="1:35">
      <c r="B59" s="48" t="s">
        <v>612</v>
      </c>
      <c r="C59" s="49"/>
      <c r="D59" s="50"/>
      <c r="H59"/>
    </row>
    <row r="60" spans="1:35">
      <c r="A60" t="s">
        <v>230</v>
      </c>
      <c r="B60" s="51" t="s">
        <v>613</v>
      </c>
      <c r="C60" s="54"/>
      <c r="D60" s="44"/>
      <c r="E60" s="36" t="s">
        <v>139</v>
      </c>
      <c r="F60" s="36" t="s">
        <v>13</v>
      </c>
      <c r="G60" s="36" t="str">
        <f>CONCATENATE(E60,F60)</f>
        <v>TECHManpower</v>
      </c>
      <c r="H60" t="s">
        <v>614</v>
      </c>
      <c r="J60" s="33"/>
      <c r="K60" s="33"/>
      <c r="L60" s="33"/>
      <c r="M60" s="33"/>
      <c r="N60" s="33"/>
      <c r="O60" s="33"/>
      <c r="P60" s="34"/>
      <c r="Q60" s="28"/>
      <c r="R60" s="28"/>
      <c r="S60" s="28"/>
      <c r="T60" s="28"/>
      <c r="U60" s="28"/>
      <c r="V60" s="28"/>
      <c r="W60" s="28"/>
      <c r="X60" s="28"/>
      <c r="Y60" s="28"/>
      <c r="Z60" s="33"/>
      <c r="AA60" s="33"/>
      <c r="AB60" s="33"/>
      <c r="AC60" s="33"/>
      <c r="AD60" s="33"/>
      <c r="AE60" s="33"/>
      <c r="AF60" s="33"/>
      <c r="AG60" s="33"/>
      <c r="AH60">
        <f t="shared" si="1"/>
        <v>0</v>
      </c>
    </row>
    <row r="61" spans="1:35">
      <c r="A61" t="s">
        <v>138</v>
      </c>
      <c r="B61" s="51" t="s">
        <v>615</v>
      </c>
      <c r="C61" s="54"/>
      <c r="D61" s="44"/>
      <c r="E61" s="36" t="s">
        <v>139</v>
      </c>
      <c r="F61" s="36" t="s">
        <v>117</v>
      </c>
      <c r="G61" s="36" t="str">
        <f>CONCATENATE(E61,F61)</f>
        <v>TECHProcurement</v>
      </c>
      <c r="H61" t="s">
        <v>616</v>
      </c>
      <c r="I61" s="65" t="s">
        <v>610</v>
      </c>
      <c r="J61" s="33"/>
      <c r="K61" s="33"/>
      <c r="L61" s="33"/>
      <c r="M61" s="33"/>
      <c r="N61" s="33"/>
      <c r="O61" s="33"/>
      <c r="P61" s="33"/>
      <c r="Q61" s="28"/>
      <c r="R61" s="28"/>
      <c r="S61" s="28"/>
      <c r="T61" s="28"/>
      <c r="U61" s="28"/>
      <c r="V61" s="28"/>
      <c r="W61" s="28"/>
      <c r="X61" s="28"/>
      <c r="Y61" s="28"/>
      <c r="Z61" s="33"/>
      <c r="AA61" s="33"/>
      <c r="AB61" s="33"/>
      <c r="AC61" s="33"/>
      <c r="AD61" s="33"/>
      <c r="AE61" s="33"/>
      <c r="AF61" s="33"/>
      <c r="AG61" s="33"/>
      <c r="AH61">
        <f t="shared" si="1"/>
        <v>0</v>
      </c>
    </row>
    <row r="62" spans="1:35" s="16" customFormat="1">
      <c r="B62" s="45"/>
      <c r="C62" s="55"/>
      <c r="D62" s="56" t="s">
        <v>562</v>
      </c>
      <c r="E62" s="57"/>
      <c r="F62" s="57"/>
      <c r="G62" s="57"/>
      <c r="H62" s="17"/>
    </row>
    <row r="63" spans="1:35">
      <c r="B63" s="48" t="s">
        <v>617</v>
      </c>
      <c r="C63" s="49"/>
      <c r="D63" s="50"/>
      <c r="H63"/>
    </row>
    <row r="64" spans="1:35">
      <c r="A64" t="s">
        <v>293</v>
      </c>
      <c r="B64" s="51" t="s">
        <v>618</v>
      </c>
      <c r="C64" s="54"/>
      <c r="D64" s="44"/>
      <c r="E64" s="37" t="s">
        <v>139</v>
      </c>
      <c r="F64" s="36" t="s">
        <v>13</v>
      </c>
      <c r="G64" s="36" t="str">
        <f>CONCATENATE(E64,F64)</f>
        <v>TECHManpower</v>
      </c>
      <c r="H64" s="61">
        <v>480000</v>
      </c>
      <c r="I64" t="s">
        <v>619</v>
      </c>
      <c r="J64" s="28"/>
      <c r="K64" s="28"/>
      <c r="L64" s="28"/>
      <c r="M64" s="28"/>
      <c r="N64" s="28"/>
      <c r="O64" s="28"/>
      <c r="P64" s="28"/>
      <c r="Q64" s="28"/>
      <c r="R64" s="28"/>
      <c r="S64" s="28"/>
      <c r="T64" s="28"/>
      <c r="U64" s="28"/>
      <c r="V64" s="28"/>
      <c r="W64" s="28"/>
      <c r="X64" s="28"/>
      <c r="Y64" s="32"/>
      <c r="Z64" s="28"/>
      <c r="AA64" s="28"/>
      <c r="AB64" s="28"/>
      <c r="AC64" s="28"/>
      <c r="AD64" s="28"/>
      <c r="AE64" s="28"/>
      <c r="AF64" s="28"/>
      <c r="AG64" s="28"/>
      <c r="AH64">
        <f t="shared" si="1"/>
        <v>0</v>
      </c>
    </row>
    <row r="65" spans="1:36">
      <c r="A65" t="s">
        <v>620</v>
      </c>
      <c r="B65" s="51" t="s">
        <v>621</v>
      </c>
      <c r="C65" s="54"/>
      <c r="D65" s="44"/>
      <c r="E65" s="36" t="s">
        <v>139</v>
      </c>
      <c r="F65" s="36" t="s">
        <v>117</v>
      </c>
      <c r="G65" s="36" t="str">
        <f>CONCATENATE(E65,F65)</f>
        <v>TECHProcurement</v>
      </c>
      <c r="H65" s="61">
        <v>480000</v>
      </c>
      <c r="J65" s="28"/>
      <c r="K65" s="28"/>
      <c r="L65" s="28"/>
      <c r="M65" s="28"/>
      <c r="N65" s="28"/>
      <c r="O65" s="28"/>
      <c r="P65" s="28"/>
      <c r="Q65" s="28"/>
      <c r="R65" s="28"/>
      <c r="S65" s="28"/>
      <c r="T65" s="28"/>
      <c r="U65" s="28"/>
      <c r="V65" s="28"/>
      <c r="W65" s="28"/>
      <c r="X65" s="28"/>
      <c r="Y65" s="32"/>
      <c r="Z65" s="28"/>
      <c r="AA65" s="28"/>
      <c r="AB65" s="28"/>
      <c r="AC65" s="28"/>
      <c r="AD65" s="28"/>
      <c r="AE65" s="28"/>
      <c r="AF65" s="28"/>
      <c r="AG65" s="28"/>
      <c r="AH65">
        <f t="shared" si="1"/>
        <v>0</v>
      </c>
    </row>
    <row r="66" spans="1:36" s="16" customFormat="1">
      <c r="B66" s="45"/>
      <c r="C66" s="55"/>
      <c r="D66" s="56" t="s">
        <v>562</v>
      </c>
      <c r="E66" s="57"/>
      <c r="F66" s="57"/>
      <c r="G66" s="57"/>
      <c r="H66" s="17"/>
    </row>
    <row r="67" spans="1:36">
      <c r="A67" t="s">
        <v>377</v>
      </c>
      <c r="B67" s="48" t="s">
        <v>622</v>
      </c>
      <c r="C67" s="49"/>
      <c r="D67" s="50"/>
      <c r="E67" s="36" t="s">
        <v>139</v>
      </c>
      <c r="F67" s="36" t="s">
        <v>117</v>
      </c>
      <c r="G67" s="36" t="str">
        <f>CONCATENATE(E67,F67)</f>
        <v>TECHProcurement</v>
      </c>
      <c r="H67" s="16">
        <v>540000</v>
      </c>
      <c r="J67" s="28"/>
      <c r="K67" s="28"/>
      <c r="L67" s="28"/>
      <c r="M67" s="28"/>
      <c r="N67" s="28"/>
      <c r="O67" s="28"/>
      <c r="P67" s="28"/>
      <c r="Q67" s="28"/>
      <c r="R67" s="28"/>
      <c r="S67" s="28"/>
      <c r="T67" s="28"/>
      <c r="U67" s="28"/>
      <c r="V67" s="28"/>
      <c r="W67" s="28"/>
      <c r="X67" s="28"/>
      <c r="Y67" s="29"/>
      <c r="Z67" s="28"/>
      <c r="AA67" s="28"/>
      <c r="AB67" s="28"/>
      <c r="AC67" s="28"/>
      <c r="AD67" s="28"/>
      <c r="AE67" s="28"/>
      <c r="AF67" s="28"/>
      <c r="AG67" s="28"/>
      <c r="AH67">
        <f t="shared" si="1"/>
        <v>0</v>
      </c>
    </row>
    <row r="68" spans="1:36" hidden="1">
      <c r="B68" s="20" t="s">
        <v>623</v>
      </c>
      <c r="C68" s="21"/>
      <c r="D68" s="22"/>
      <c r="H6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f t="shared" si="1"/>
        <v>0</v>
      </c>
    </row>
    <row r="69" spans="1:36" ht="21.95" customHeight="1">
      <c r="B69" s="23"/>
      <c r="C69" s="5"/>
      <c r="D69" s="5"/>
      <c r="E69"/>
      <c r="F69"/>
      <c r="G69"/>
      <c r="H69"/>
    </row>
    <row r="70" spans="1:36" ht="21.95" customHeight="1">
      <c r="A70" t="s">
        <v>9</v>
      </c>
      <c r="B70" s="12" t="s">
        <v>624</v>
      </c>
      <c r="C70" s="13"/>
      <c r="D70" s="14"/>
      <c r="E70" s="37" t="s">
        <v>14</v>
      </c>
      <c r="F70" s="36" t="s">
        <v>117</v>
      </c>
      <c r="G70" s="36" t="str">
        <f>CONCATENATE(E70,F70)</f>
        <v>MISSIONProcurement</v>
      </c>
      <c r="H70" s="16">
        <v>320000</v>
      </c>
    </row>
    <row r="71" spans="1:36" ht="21.95" customHeight="1">
      <c r="B71" s="5"/>
      <c r="C71" s="5"/>
      <c r="D71" s="5"/>
      <c r="E71"/>
      <c r="F71"/>
      <c r="G71"/>
      <c r="H71"/>
    </row>
    <row r="72" spans="1:36">
      <c r="B72" s="23"/>
      <c r="C72" s="5"/>
      <c r="D72" s="5"/>
      <c r="H72"/>
    </row>
    <row r="73" spans="1:36">
      <c r="B73" s="12" t="s">
        <v>625</v>
      </c>
      <c r="C73" s="13"/>
      <c r="D73" s="14"/>
      <c r="H73"/>
    </row>
    <row r="74" spans="1:36">
      <c r="A74" t="s">
        <v>389</v>
      </c>
      <c r="B74" s="321" t="s">
        <v>626</v>
      </c>
      <c r="C74" s="19"/>
      <c r="D74" s="315"/>
      <c r="E74" s="37" t="s">
        <v>14</v>
      </c>
      <c r="F74" s="36" t="s">
        <v>13</v>
      </c>
      <c r="G74" s="36" t="str">
        <f>CONCATENATE(E74,F74)</f>
        <v>MISSIONManpower</v>
      </c>
      <c r="H74" s="64" t="s">
        <v>627</v>
      </c>
      <c r="J74" s="28"/>
      <c r="K74" s="28"/>
      <c r="L74" s="28"/>
      <c r="M74" s="28"/>
      <c r="N74" s="28"/>
      <c r="O74" s="28"/>
      <c r="P74" s="28"/>
      <c r="Q74" s="28"/>
      <c r="R74" s="28"/>
      <c r="S74" s="28"/>
      <c r="T74" s="28"/>
      <c r="U74" s="28"/>
      <c r="V74" s="28"/>
      <c r="W74" s="28"/>
      <c r="X74" s="28"/>
      <c r="Y74" s="35"/>
      <c r="Z74" s="28"/>
      <c r="AA74" s="28"/>
      <c r="AB74" s="28"/>
      <c r="AC74" s="28"/>
      <c r="AD74" s="28"/>
      <c r="AE74" s="28"/>
      <c r="AF74" s="28"/>
      <c r="AG74" s="28"/>
      <c r="AH74">
        <f t="shared" si="1"/>
        <v>0</v>
      </c>
    </row>
    <row r="75" spans="1:36">
      <c r="A75" t="s">
        <v>434</v>
      </c>
      <c r="B75" s="603" t="s">
        <v>432</v>
      </c>
      <c r="C75" s="5"/>
      <c r="D75" s="316"/>
      <c r="E75" s="37" t="s">
        <v>14</v>
      </c>
      <c r="F75" s="36" t="s">
        <v>13</v>
      </c>
      <c r="G75" s="36" t="str">
        <f>CONCATENATE(E75,F75)</f>
        <v>MISSIONManpower</v>
      </c>
      <c r="H75" s="60" t="s">
        <v>628</v>
      </c>
      <c r="J75" s="29"/>
      <c r="K75" s="28"/>
      <c r="L75" s="28"/>
      <c r="M75" s="28"/>
      <c r="N75" s="28"/>
      <c r="O75" s="28"/>
      <c r="P75" s="28"/>
      <c r="Q75" s="28"/>
      <c r="R75" s="28"/>
      <c r="S75" s="28"/>
      <c r="T75" s="28"/>
      <c r="U75" s="28"/>
      <c r="V75" s="28"/>
      <c r="W75" s="28"/>
      <c r="X75" s="28"/>
      <c r="Y75" s="30"/>
      <c r="Z75" s="29"/>
      <c r="AA75" s="28"/>
      <c r="AB75" s="28"/>
      <c r="AC75" s="28"/>
      <c r="AD75" s="28"/>
      <c r="AE75" s="28"/>
      <c r="AF75" s="28"/>
      <c r="AG75" s="28"/>
      <c r="AH75">
        <f t="shared" si="1"/>
        <v>0</v>
      </c>
    </row>
    <row r="76" spans="1:36">
      <c r="A76" t="s">
        <v>427</v>
      </c>
      <c r="B76" s="322" t="s">
        <v>629</v>
      </c>
      <c r="C76" s="5"/>
      <c r="D76" s="316"/>
      <c r="E76" s="36" t="s">
        <v>139</v>
      </c>
      <c r="F76" s="36" t="s">
        <v>13</v>
      </c>
      <c r="G76" s="36" t="str">
        <f>CONCATENATE(E76,F76)</f>
        <v>TECHManpower</v>
      </c>
      <c r="H76" s="16">
        <v>650000</v>
      </c>
      <c r="J76" s="28"/>
      <c r="K76" s="28"/>
      <c r="L76" s="28"/>
      <c r="M76" s="28"/>
      <c r="N76" s="28"/>
      <c r="O76" s="28"/>
      <c r="P76" s="28"/>
      <c r="Q76" s="28"/>
      <c r="R76" s="28"/>
      <c r="S76" s="28"/>
      <c r="T76" s="28"/>
      <c r="U76" s="28"/>
      <c r="V76" s="28"/>
      <c r="W76" s="28"/>
      <c r="X76" s="28"/>
      <c r="Y76" s="29"/>
      <c r="Z76" s="28"/>
      <c r="AA76" s="28"/>
      <c r="AB76" s="28"/>
      <c r="AC76" s="28"/>
      <c r="AD76" s="28"/>
      <c r="AE76" s="28"/>
      <c r="AF76" s="28"/>
      <c r="AG76" s="28"/>
      <c r="AH76">
        <f t="shared" si="1"/>
        <v>0</v>
      </c>
    </row>
    <row r="77" spans="1:36">
      <c r="A77" t="s">
        <v>396</v>
      </c>
      <c r="B77" s="322" t="s">
        <v>630</v>
      </c>
      <c r="C77" s="5"/>
      <c r="D77" s="316"/>
      <c r="E77" s="37" t="s">
        <v>14</v>
      </c>
      <c r="F77" s="37" t="s">
        <v>117</v>
      </c>
      <c r="G77" s="36" t="str">
        <f>CONCATENATE(E77,F77)</f>
        <v>MISSIONProcurement</v>
      </c>
      <c r="H77">
        <v>620100</v>
      </c>
      <c r="I77" s="1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f t="shared" si="1"/>
        <v>0</v>
      </c>
    </row>
    <row r="78" spans="1:36" ht="15.75" thickBot="1">
      <c r="A78" t="s">
        <v>631</v>
      </c>
      <c r="B78" s="602" t="s">
        <v>632</v>
      </c>
      <c r="C78" s="318"/>
      <c r="D78" s="319"/>
      <c r="E78" s="37" t="s">
        <v>14</v>
      </c>
      <c r="F78" s="36" t="s">
        <v>117</v>
      </c>
      <c r="G78" s="36" t="str">
        <f>CONCATENATE(E78,F78)</f>
        <v>MISSIONProcurement</v>
      </c>
      <c r="H78" t="s">
        <v>643</v>
      </c>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f t="shared" si="1"/>
        <v>0</v>
      </c>
    </row>
    <row r="79" spans="1:36">
      <c r="A79" t="s">
        <v>633</v>
      </c>
      <c r="B79" s="25" t="s">
        <v>465</v>
      </c>
      <c r="C79" s="26"/>
      <c r="D79" s="27"/>
      <c r="H79"/>
      <c r="J79" s="123">
        <f>J81*0.2</f>
        <v>0</v>
      </c>
      <c r="K79" s="123">
        <f t="shared" ref="K79:AG79" si="2">K81*0.2</f>
        <v>0</v>
      </c>
      <c r="L79" s="123">
        <f t="shared" si="2"/>
        <v>61.401013600352123</v>
      </c>
      <c r="M79" s="123">
        <f t="shared" si="2"/>
        <v>60.640450220070434</v>
      </c>
      <c r="N79" s="123">
        <f t="shared" si="2"/>
        <v>26.908383353873248</v>
      </c>
      <c r="O79" s="123">
        <f t="shared" si="2"/>
        <v>92.671763635563423</v>
      </c>
      <c r="P79" s="123">
        <f t="shared" si="2"/>
        <v>155.32331469190149</v>
      </c>
      <c r="Q79" s="123">
        <f t="shared" si="2"/>
        <v>138.04446884683102</v>
      </c>
      <c r="R79" s="123">
        <f t="shared" si="2"/>
        <v>10.390100889084508</v>
      </c>
      <c r="S79" s="123">
        <f t="shared" si="2"/>
        <v>78.460930325704254</v>
      </c>
      <c r="T79" s="123">
        <f t="shared" si="2"/>
        <v>88.728535959507056</v>
      </c>
      <c r="U79" s="123">
        <f t="shared" si="2"/>
        <v>9.6295375088028194</v>
      </c>
      <c r="V79" s="123">
        <f t="shared" si="2"/>
        <v>10.390100889084508</v>
      </c>
      <c r="W79" s="123">
        <f t="shared" si="2"/>
        <v>18.635194515845075</v>
      </c>
      <c r="X79" s="123">
        <f t="shared" si="2"/>
        <v>19.395757896126767</v>
      </c>
      <c r="Y79" s="123">
        <f t="shared" si="2"/>
        <v>9.6295375088028194</v>
      </c>
      <c r="Z79" s="123">
        <f t="shared" si="2"/>
        <v>10.390100889084508</v>
      </c>
      <c r="AA79" s="123">
        <f t="shared" si="2"/>
        <v>9.6295375088028194</v>
      </c>
      <c r="AB79" s="123">
        <f t="shared" si="2"/>
        <v>5.3252310211267613</v>
      </c>
      <c r="AC79" s="123">
        <f t="shared" si="2"/>
        <v>5.3252310211267613</v>
      </c>
      <c r="AD79" s="123">
        <f t="shared" si="2"/>
        <v>0</v>
      </c>
      <c r="AE79" s="123">
        <f t="shared" si="2"/>
        <v>0</v>
      </c>
      <c r="AF79" s="123">
        <f t="shared" si="2"/>
        <v>0</v>
      </c>
      <c r="AG79" s="123">
        <f t="shared" si="2"/>
        <v>0</v>
      </c>
      <c r="AH79" s="115">
        <f t="shared" ref="AH79" si="3">SUM(J79:AG79)</f>
        <v>810.91919028169048</v>
      </c>
      <c r="AI79" s="115"/>
      <c r="AJ79">
        <v>810.9488855633806</v>
      </c>
    </row>
    <row r="80" spans="1:36">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row>
    <row r="81" spans="2:36">
      <c r="B81" s="23" t="s">
        <v>634</v>
      </c>
      <c r="J81" s="115">
        <f>SUM(J14:J78)</f>
        <v>0</v>
      </c>
      <c r="K81" s="115">
        <f t="shared" ref="K81:AI81" si="4">SUM(K14:K78)</f>
        <v>0</v>
      </c>
      <c r="L81" s="115">
        <f t="shared" si="4"/>
        <v>307.00506800176061</v>
      </c>
      <c r="M81" s="115">
        <f t="shared" si="4"/>
        <v>303.20225110035216</v>
      </c>
      <c r="N81" s="115">
        <f t="shared" si="4"/>
        <v>134.54191676936622</v>
      </c>
      <c r="O81" s="115">
        <f t="shared" si="4"/>
        <v>463.35881817781706</v>
      </c>
      <c r="P81" s="115">
        <f t="shared" si="4"/>
        <v>776.61657345950732</v>
      </c>
      <c r="Q81" s="115">
        <f t="shared" si="4"/>
        <v>690.22234423415512</v>
      </c>
      <c r="R81" s="115">
        <f t="shared" si="4"/>
        <v>51.950504445422538</v>
      </c>
      <c r="S81" s="115">
        <f t="shared" si="4"/>
        <v>392.30465162852124</v>
      </c>
      <c r="T81" s="115">
        <f t="shared" si="4"/>
        <v>443.64267979753527</v>
      </c>
      <c r="U81" s="115">
        <f t="shared" si="4"/>
        <v>48.14768754401409</v>
      </c>
      <c r="V81" s="115">
        <f t="shared" si="4"/>
        <v>51.950504445422538</v>
      </c>
      <c r="W81" s="115">
        <f t="shared" si="4"/>
        <v>93.175972579225373</v>
      </c>
      <c r="X81" s="115">
        <f t="shared" si="4"/>
        <v>96.978789480633822</v>
      </c>
      <c r="Y81" s="115">
        <f t="shared" si="4"/>
        <v>48.14768754401409</v>
      </c>
      <c r="Z81" s="115">
        <f t="shared" si="4"/>
        <v>51.950504445422538</v>
      </c>
      <c r="AA81" s="115">
        <f t="shared" si="4"/>
        <v>48.14768754401409</v>
      </c>
      <c r="AB81" s="115">
        <f t="shared" si="4"/>
        <v>26.626155105633806</v>
      </c>
      <c r="AC81" s="115">
        <f t="shared" si="4"/>
        <v>26.626155105633806</v>
      </c>
      <c r="AD81" s="115">
        <f t="shared" si="4"/>
        <v>0</v>
      </c>
      <c r="AE81" s="115">
        <f t="shared" si="4"/>
        <v>0</v>
      </c>
      <c r="AF81" s="115">
        <f t="shared" si="4"/>
        <v>0</v>
      </c>
      <c r="AG81" s="115">
        <f t="shared" si="4"/>
        <v>0</v>
      </c>
      <c r="AH81" s="115">
        <f t="shared" si="4"/>
        <v>4054.5959514084525</v>
      </c>
      <c r="AI81" s="115">
        <f t="shared" si="4"/>
        <v>0</v>
      </c>
    </row>
    <row r="82" spans="2:36">
      <c r="B82" s="23" t="s">
        <v>635</v>
      </c>
      <c r="J82" s="115">
        <f>SUM(J79:J81)</f>
        <v>0</v>
      </c>
      <c r="K82" s="115">
        <f t="shared" ref="K82:AG82" si="5">SUM(K79:K81)</f>
        <v>0</v>
      </c>
      <c r="L82" s="115">
        <f t="shared" si="5"/>
        <v>368.40608160211275</v>
      </c>
      <c r="M82" s="115">
        <f t="shared" si="5"/>
        <v>363.84270132042258</v>
      </c>
      <c r="N82" s="115">
        <f t="shared" si="5"/>
        <v>161.45030012323946</v>
      </c>
      <c r="O82" s="115">
        <f t="shared" si="5"/>
        <v>556.03058181338042</v>
      </c>
      <c r="P82" s="115">
        <f t="shared" si="5"/>
        <v>931.93988815140881</v>
      </c>
      <c r="Q82" s="115">
        <f t="shared" si="5"/>
        <v>828.26681308098614</v>
      </c>
      <c r="R82" s="115">
        <f t="shared" si="5"/>
        <v>62.340605334507046</v>
      </c>
      <c r="S82" s="115">
        <f t="shared" si="5"/>
        <v>470.76558195422547</v>
      </c>
      <c r="T82" s="115">
        <f t="shared" si="5"/>
        <v>532.37121575704236</v>
      </c>
      <c r="U82" s="115">
        <f t="shared" si="5"/>
        <v>57.77722505281691</v>
      </c>
      <c r="V82" s="115">
        <f t="shared" si="5"/>
        <v>62.340605334507046</v>
      </c>
      <c r="W82" s="115">
        <f t="shared" si="5"/>
        <v>111.81116709507045</v>
      </c>
      <c r="X82" s="115">
        <f t="shared" si="5"/>
        <v>116.37454737676059</v>
      </c>
      <c r="Y82" s="115">
        <f t="shared" si="5"/>
        <v>57.77722505281691</v>
      </c>
      <c r="Z82" s="115">
        <f t="shared" si="5"/>
        <v>62.340605334507046</v>
      </c>
      <c r="AA82" s="115">
        <f t="shared" si="5"/>
        <v>57.77722505281691</v>
      </c>
      <c r="AB82" s="115">
        <f t="shared" si="5"/>
        <v>31.951386126760568</v>
      </c>
      <c r="AC82" s="115">
        <f t="shared" si="5"/>
        <v>31.951386126760568</v>
      </c>
      <c r="AD82" s="115">
        <f t="shared" si="5"/>
        <v>0</v>
      </c>
      <c r="AE82" s="115">
        <f t="shared" si="5"/>
        <v>0</v>
      </c>
      <c r="AF82" s="115">
        <f t="shared" si="5"/>
        <v>0</v>
      </c>
      <c r="AG82" s="115">
        <f t="shared" si="5"/>
        <v>0</v>
      </c>
      <c r="AH82" s="115">
        <f t="shared" ref="AH82" si="6">SUM(J82:AG82)</f>
        <v>4865.5151416901417</v>
      </c>
      <c r="AI82" s="390"/>
    </row>
    <row r="83" spans="2:36" ht="15.75" thickBot="1">
      <c r="AH83" s="124"/>
    </row>
    <row r="84" spans="2:36">
      <c r="E84" s="256" t="s">
        <v>12</v>
      </c>
      <c r="F84" s="257" t="s">
        <v>13</v>
      </c>
      <c r="G84" s="257" t="str">
        <f>CONCATENATE(E84,F84)</f>
        <v>MGTManpower</v>
      </c>
      <c r="H84" s="257"/>
      <c r="I84" s="274"/>
      <c r="J84" s="268">
        <f>SUMIF($G$14:$G$79,$G84,J$14:J$79)</f>
        <v>0</v>
      </c>
      <c r="K84" s="258">
        <f t="shared" ref="K84:AH88" si="7">SUMIF($G$14:$G$79,$G84,K$14:K$79)</f>
        <v>0</v>
      </c>
      <c r="L84" s="258">
        <f t="shared" si="7"/>
        <v>26.626155105633806</v>
      </c>
      <c r="M84" s="258">
        <f t="shared" si="7"/>
        <v>22.823338204225355</v>
      </c>
      <c r="N84" s="258">
        <f t="shared" si="7"/>
        <v>26.626155105633806</v>
      </c>
      <c r="O84" s="258">
        <f t="shared" si="7"/>
        <v>22.823338204225355</v>
      </c>
      <c r="P84" s="258">
        <f t="shared" si="7"/>
        <v>26.626155105633806</v>
      </c>
      <c r="Q84" s="258">
        <f t="shared" si="7"/>
        <v>22.823338204225355</v>
      </c>
      <c r="R84" s="258">
        <f t="shared" si="7"/>
        <v>26.626155105633806</v>
      </c>
      <c r="S84" s="258">
        <f t="shared" si="7"/>
        <v>22.823338204225355</v>
      </c>
      <c r="T84" s="258">
        <f t="shared" si="7"/>
        <v>26.626155105633806</v>
      </c>
      <c r="U84" s="258">
        <f t="shared" si="7"/>
        <v>22.823338204225355</v>
      </c>
      <c r="V84" s="258">
        <f t="shared" si="7"/>
        <v>26.626155105633806</v>
      </c>
      <c r="W84" s="258">
        <f t="shared" si="7"/>
        <v>22.823338204225355</v>
      </c>
      <c r="X84" s="258">
        <f t="shared" si="7"/>
        <v>26.626155105633806</v>
      </c>
      <c r="Y84" s="258">
        <f t="shared" si="7"/>
        <v>22.823338204225355</v>
      </c>
      <c r="Z84" s="258">
        <f t="shared" si="7"/>
        <v>26.626155105633806</v>
      </c>
      <c r="AA84" s="258">
        <f t="shared" si="7"/>
        <v>22.823338204225355</v>
      </c>
      <c r="AB84" s="258">
        <f t="shared" si="7"/>
        <v>26.626155105633806</v>
      </c>
      <c r="AC84" s="258">
        <f t="shared" si="7"/>
        <v>26.626155105633806</v>
      </c>
      <c r="AD84" s="258">
        <f t="shared" si="7"/>
        <v>0</v>
      </c>
      <c r="AE84" s="258">
        <f t="shared" si="7"/>
        <v>0</v>
      </c>
      <c r="AF84" s="258">
        <f t="shared" si="7"/>
        <v>0</v>
      </c>
      <c r="AG84" s="259">
        <f t="shared" si="7"/>
        <v>0</v>
      </c>
      <c r="AH84" s="271">
        <f t="shared" si="7"/>
        <v>448.84825669014089</v>
      </c>
      <c r="AJ84">
        <v>448.90479753521134</v>
      </c>
    </row>
    <row r="85" spans="2:36">
      <c r="E85" s="260" t="s">
        <v>14</v>
      </c>
      <c r="F85" s="36" t="s">
        <v>13</v>
      </c>
      <c r="G85" s="36" t="str">
        <f>CONCATENATE(E85,F85)</f>
        <v>MISSIONManpower</v>
      </c>
      <c r="I85" s="275"/>
      <c r="J85" s="269">
        <f t="shared" ref="J85:Y88" si="8">SUMIF($G$14:$G$79,$G85,J$14:J$79)</f>
        <v>0</v>
      </c>
      <c r="K85" s="261">
        <f t="shared" si="8"/>
        <v>0</v>
      </c>
      <c r="L85" s="261">
        <f t="shared" si="8"/>
        <v>56.695099119718314</v>
      </c>
      <c r="M85" s="261">
        <f t="shared" si="8"/>
        <v>56.695099119718314</v>
      </c>
      <c r="N85" s="261">
        <f t="shared" si="8"/>
        <v>0</v>
      </c>
      <c r="O85" s="261">
        <f t="shared" si="8"/>
        <v>0</v>
      </c>
      <c r="P85" s="261">
        <f t="shared" si="8"/>
        <v>0</v>
      </c>
      <c r="Q85" s="261">
        <f t="shared" si="8"/>
        <v>0</v>
      </c>
      <c r="R85" s="261">
        <f t="shared" si="8"/>
        <v>0</v>
      </c>
      <c r="S85" s="261">
        <f t="shared" si="8"/>
        <v>257.98605052816907</v>
      </c>
      <c r="T85" s="261">
        <f t="shared" si="8"/>
        <v>257.98605052816907</v>
      </c>
      <c r="U85" s="261">
        <f t="shared" si="8"/>
        <v>0</v>
      </c>
      <c r="V85" s="261">
        <f t="shared" si="8"/>
        <v>0</v>
      </c>
      <c r="W85" s="261">
        <f t="shared" si="8"/>
        <v>45.028285035211276</v>
      </c>
      <c r="X85" s="261">
        <f t="shared" si="8"/>
        <v>45.028285035211276</v>
      </c>
      <c r="Y85" s="261">
        <f t="shared" si="8"/>
        <v>0</v>
      </c>
      <c r="Z85" s="261">
        <f t="shared" si="7"/>
        <v>0</v>
      </c>
      <c r="AA85" s="261">
        <f t="shared" si="7"/>
        <v>0</v>
      </c>
      <c r="AB85" s="261">
        <f t="shared" si="7"/>
        <v>0</v>
      </c>
      <c r="AC85" s="261">
        <f t="shared" si="7"/>
        <v>0</v>
      </c>
      <c r="AD85" s="261">
        <f t="shared" si="7"/>
        <v>0</v>
      </c>
      <c r="AE85" s="261">
        <f t="shared" si="7"/>
        <v>0</v>
      </c>
      <c r="AF85" s="261">
        <f t="shared" si="7"/>
        <v>0</v>
      </c>
      <c r="AG85" s="262">
        <f t="shared" si="7"/>
        <v>0</v>
      </c>
      <c r="AH85" s="272">
        <f t="shared" si="7"/>
        <v>719.41886936619733</v>
      </c>
      <c r="AJ85">
        <v>719.49234154929616</v>
      </c>
    </row>
    <row r="86" spans="2:36" ht="15.75" thickBot="1">
      <c r="E86" s="263" t="s">
        <v>139</v>
      </c>
      <c r="F86" s="264" t="s">
        <v>13</v>
      </c>
      <c r="G86" s="264" t="str">
        <f>CONCATENATE(E86,F86)</f>
        <v>TECHManpower</v>
      </c>
      <c r="H86" s="264"/>
      <c r="I86" s="276"/>
      <c r="J86" s="270">
        <f t="shared" si="8"/>
        <v>0</v>
      </c>
      <c r="K86" s="266">
        <f t="shared" si="7"/>
        <v>0</v>
      </c>
      <c r="L86" s="266">
        <f t="shared" si="7"/>
        <v>223.6838137764085</v>
      </c>
      <c r="M86" s="266">
        <f t="shared" si="7"/>
        <v>223.6838137764085</v>
      </c>
      <c r="N86" s="266">
        <f t="shared" si="7"/>
        <v>107.91576166373241</v>
      </c>
      <c r="O86" s="266">
        <f t="shared" si="7"/>
        <v>107.91576166373241</v>
      </c>
      <c r="P86" s="266">
        <f t="shared" si="7"/>
        <v>417.37070004401426</v>
      </c>
      <c r="Q86" s="266">
        <f t="shared" si="7"/>
        <v>334.77928772007056</v>
      </c>
      <c r="R86" s="266">
        <f t="shared" si="7"/>
        <v>25.324349339788736</v>
      </c>
      <c r="S86" s="266">
        <f t="shared" si="7"/>
        <v>111.49526289612677</v>
      </c>
      <c r="T86" s="266">
        <f t="shared" si="7"/>
        <v>111.49526289612677</v>
      </c>
      <c r="U86" s="266">
        <f t="shared" si="7"/>
        <v>25.324349339788736</v>
      </c>
      <c r="V86" s="266">
        <f t="shared" si="7"/>
        <v>25.324349339788736</v>
      </c>
      <c r="W86" s="266">
        <f t="shared" si="7"/>
        <v>25.324349339788736</v>
      </c>
      <c r="X86" s="266">
        <f t="shared" si="7"/>
        <v>25.324349339788736</v>
      </c>
      <c r="Y86" s="266">
        <f t="shared" si="7"/>
        <v>25.324349339788736</v>
      </c>
      <c r="Z86" s="266">
        <f t="shared" si="7"/>
        <v>25.324349339788736</v>
      </c>
      <c r="AA86" s="266">
        <f t="shared" si="7"/>
        <v>25.324349339788736</v>
      </c>
      <c r="AB86" s="266">
        <f t="shared" si="7"/>
        <v>0</v>
      </c>
      <c r="AC86" s="266">
        <f t="shared" si="7"/>
        <v>0</v>
      </c>
      <c r="AD86" s="266">
        <f t="shared" si="7"/>
        <v>0</v>
      </c>
      <c r="AE86" s="266">
        <f t="shared" si="7"/>
        <v>0</v>
      </c>
      <c r="AF86" s="266">
        <f t="shared" si="7"/>
        <v>0</v>
      </c>
      <c r="AG86" s="267">
        <f t="shared" si="7"/>
        <v>0</v>
      </c>
      <c r="AH86" s="273">
        <f t="shared" si="7"/>
        <v>1840.9344591549307</v>
      </c>
      <c r="AJ86">
        <v>1918.3895422535206</v>
      </c>
    </row>
    <row r="87" spans="2:36">
      <c r="E87" s="260" t="s">
        <v>14</v>
      </c>
      <c r="F87" s="37" t="s">
        <v>117</v>
      </c>
      <c r="G87" s="36" t="str">
        <f>CONCATENATE(E87,F87)</f>
        <v>MISSIONProcurement</v>
      </c>
      <c r="H87" s="37"/>
      <c r="J87" s="269">
        <f t="shared" si="8"/>
        <v>0</v>
      </c>
      <c r="K87" s="261">
        <f t="shared" si="7"/>
        <v>0</v>
      </c>
      <c r="L87" s="261">
        <f t="shared" si="7"/>
        <v>0</v>
      </c>
      <c r="M87" s="261">
        <f t="shared" si="7"/>
        <v>0</v>
      </c>
      <c r="N87" s="261">
        <f t="shared" si="7"/>
        <v>0</v>
      </c>
      <c r="O87" s="261">
        <f t="shared" si="7"/>
        <v>0</v>
      </c>
      <c r="P87" s="261">
        <f t="shared" si="7"/>
        <v>0</v>
      </c>
      <c r="Q87" s="261">
        <f t="shared" si="7"/>
        <v>0</v>
      </c>
      <c r="R87" s="261">
        <f t="shared" si="7"/>
        <v>0</v>
      </c>
      <c r="S87" s="261">
        <f t="shared" si="7"/>
        <v>0</v>
      </c>
      <c r="T87" s="261">
        <f t="shared" si="7"/>
        <v>0</v>
      </c>
      <c r="U87" s="261">
        <f t="shared" si="7"/>
        <v>0</v>
      </c>
      <c r="V87" s="261">
        <f t="shared" si="7"/>
        <v>0</v>
      </c>
      <c r="W87" s="261">
        <f t="shared" si="7"/>
        <v>0</v>
      </c>
      <c r="X87" s="261">
        <f t="shared" si="7"/>
        <v>0</v>
      </c>
      <c r="Y87" s="261">
        <f t="shared" si="7"/>
        <v>0</v>
      </c>
      <c r="Z87" s="261">
        <f t="shared" si="7"/>
        <v>0</v>
      </c>
      <c r="AA87" s="261">
        <f t="shared" si="7"/>
        <v>0</v>
      </c>
      <c r="AB87" s="261">
        <f t="shared" si="7"/>
        <v>0</v>
      </c>
      <c r="AC87" s="261">
        <f t="shared" si="7"/>
        <v>0</v>
      </c>
      <c r="AD87" s="261">
        <f t="shared" si="7"/>
        <v>0</v>
      </c>
      <c r="AE87" s="261">
        <f t="shared" si="7"/>
        <v>0</v>
      </c>
      <c r="AF87" s="261">
        <f t="shared" si="7"/>
        <v>0</v>
      </c>
      <c r="AG87" s="262">
        <f t="shared" si="7"/>
        <v>0</v>
      </c>
      <c r="AH87" s="262">
        <f t="shared" si="7"/>
        <v>0</v>
      </c>
      <c r="AJ87">
        <v>0</v>
      </c>
    </row>
    <row r="88" spans="2:36" ht="15.75" thickBot="1">
      <c r="E88" s="263" t="s">
        <v>139</v>
      </c>
      <c r="F88" s="264" t="s">
        <v>117</v>
      </c>
      <c r="G88" s="264" t="str">
        <f>CONCATENATE(E88,F88)</f>
        <v>TECHProcurement</v>
      </c>
      <c r="H88" s="264"/>
      <c r="I88" s="265"/>
      <c r="J88" s="270">
        <f t="shared" si="8"/>
        <v>0</v>
      </c>
      <c r="K88" s="266">
        <f t="shared" si="7"/>
        <v>0</v>
      </c>
      <c r="L88" s="266">
        <f t="shared" si="7"/>
        <v>0</v>
      </c>
      <c r="M88" s="266">
        <f t="shared" si="7"/>
        <v>0</v>
      </c>
      <c r="N88" s="266">
        <f t="shared" si="7"/>
        <v>0</v>
      </c>
      <c r="O88" s="266">
        <f t="shared" si="7"/>
        <v>332.61971830985925</v>
      </c>
      <c r="P88" s="266">
        <f t="shared" si="7"/>
        <v>332.61971830985925</v>
      </c>
      <c r="Q88" s="266">
        <f t="shared" si="7"/>
        <v>332.61971830985925</v>
      </c>
      <c r="R88" s="266">
        <f t="shared" si="7"/>
        <v>0</v>
      </c>
      <c r="S88" s="266">
        <f t="shared" si="7"/>
        <v>0</v>
      </c>
      <c r="T88" s="266">
        <f t="shared" si="7"/>
        <v>47.535211267605639</v>
      </c>
      <c r="U88" s="266">
        <f t="shared" si="7"/>
        <v>0</v>
      </c>
      <c r="V88" s="266">
        <f t="shared" si="7"/>
        <v>0</v>
      </c>
      <c r="W88" s="266">
        <f t="shared" si="7"/>
        <v>0</v>
      </c>
      <c r="X88" s="266">
        <f t="shared" si="7"/>
        <v>0</v>
      </c>
      <c r="Y88" s="266">
        <f t="shared" si="7"/>
        <v>0</v>
      </c>
      <c r="Z88" s="266">
        <f t="shared" si="7"/>
        <v>0</v>
      </c>
      <c r="AA88" s="266">
        <f t="shared" si="7"/>
        <v>0</v>
      </c>
      <c r="AB88" s="266">
        <f t="shared" si="7"/>
        <v>0</v>
      </c>
      <c r="AC88" s="266">
        <f t="shared" si="7"/>
        <v>0</v>
      </c>
      <c r="AD88" s="266">
        <f t="shared" si="7"/>
        <v>0</v>
      </c>
      <c r="AE88" s="266">
        <f t="shared" si="7"/>
        <v>0</v>
      </c>
      <c r="AF88" s="266">
        <f t="shared" si="7"/>
        <v>0</v>
      </c>
      <c r="AG88" s="267">
        <f t="shared" si="7"/>
        <v>0</v>
      </c>
      <c r="AH88" s="267">
        <f t="shared" si="7"/>
        <v>1045.3943661971834</v>
      </c>
      <c r="AJ88">
        <v>967.95774647887322</v>
      </c>
    </row>
    <row r="89" spans="2:36">
      <c r="AH89" s="124"/>
    </row>
    <row r="90" spans="2:36">
      <c r="J90" s="124">
        <f t="shared" ref="J90:AJ90" si="9">SUM(J84:J88)</f>
        <v>0</v>
      </c>
      <c r="K90" s="124">
        <f t="shared" si="9"/>
        <v>0</v>
      </c>
      <c r="L90" s="124">
        <f t="shared" si="9"/>
        <v>307.00506800176061</v>
      </c>
      <c r="M90" s="124">
        <f t="shared" si="9"/>
        <v>303.20225110035216</v>
      </c>
      <c r="N90" s="124">
        <f t="shared" si="9"/>
        <v>134.54191676936622</v>
      </c>
      <c r="O90" s="124">
        <f t="shared" si="9"/>
        <v>463.35881817781706</v>
      </c>
      <c r="P90" s="124">
        <f t="shared" si="9"/>
        <v>776.61657345950732</v>
      </c>
      <c r="Q90" s="124">
        <f t="shared" si="9"/>
        <v>690.22234423415512</v>
      </c>
      <c r="R90" s="124">
        <f t="shared" si="9"/>
        <v>51.950504445422538</v>
      </c>
      <c r="S90" s="124">
        <f t="shared" si="9"/>
        <v>392.30465162852124</v>
      </c>
      <c r="T90" s="124">
        <f t="shared" si="9"/>
        <v>443.64267979753527</v>
      </c>
      <c r="U90" s="124">
        <f t="shared" si="9"/>
        <v>48.14768754401409</v>
      </c>
      <c r="V90" s="124">
        <f t="shared" si="9"/>
        <v>51.950504445422538</v>
      </c>
      <c r="W90" s="124">
        <f t="shared" si="9"/>
        <v>93.175972579225373</v>
      </c>
      <c r="X90" s="124">
        <f t="shared" si="9"/>
        <v>96.978789480633822</v>
      </c>
      <c r="Y90" s="124">
        <f t="shared" si="9"/>
        <v>48.14768754401409</v>
      </c>
      <c r="Z90" s="124">
        <f t="shared" si="9"/>
        <v>51.950504445422538</v>
      </c>
      <c r="AA90" s="124">
        <f t="shared" si="9"/>
        <v>48.14768754401409</v>
      </c>
      <c r="AB90" s="124">
        <f t="shared" si="9"/>
        <v>26.626155105633806</v>
      </c>
      <c r="AC90" s="124">
        <f t="shared" si="9"/>
        <v>26.626155105633806</v>
      </c>
      <c r="AD90" s="124">
        <f t="shared" si="9"/>
        <v>0</v>
      </c>
      <c r="AE90" s="124">
        <f t="shared" si="9"/>
        <v>0</v>
      </c>
      <c r="AF90" s="124">
        <f t="shared" si="9"/>
        <v>0</v>
      </c>
      <c r="AG90" s="124">
        <f t="shared" si="9"/>
        <v>0</v>
      </c>
      <c r="AH90" s="124">
        <f t="shared" si="9"/>
        <v>4054.5959514084525</v>
      </c>
      <c r="AJ90" s="124">
        <f t="shared" si="9"/>
        <v>4054.744427816901</v>
      </c>
    </row>
    <row r="92" spans="2:36">
      <c r="J92" s="608"/>
      <c r="K92" s="608"/>
      <c r="L92" s="608"/>
      <c r="M92" s="608"/>
      <c r="N92" s="608"/>
      <c r="O92" s="608"/>
      <c r="P92" s="608"/>
      <c r="Q92" s="608"/>
      <c r="R92" s="608"/>
      <c r="S92" s="608"/>
      <c r="T92" s="608"/>
      <c r="U92" s="608"/>
      <c r="V92" s="608"/>
      <c r="W92" s="608"/>
      <c r="X92" s="608"/>
      <c r="Y92" s="608"/>
      <c r="Z92" s="608"/>
      <c r="AA92" s="608"/>
      <c r="AB92" s="608"/>
      <c r="AC92" s="608"/>
      <c r="AD92" s="608"/>
      <c r="AE92" s="608"/>
      <c r="AF92" s="608"/>
      <c r="AG92" s="608"/>
    </row>
  </sheetData>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85"/>
  <sheetViews>
    <sheetView topLeftCell="A8" workbookViewId="0">
      <pane xSplit="5" ySplit="15" topLeftCell="F23" activePane="bottomRight" state="frozen"/>
      <selection pane="topRight" activeCell="AR78" sqref="AR78"/>
      <selection pane="bottomLeft" activeCell="AR78" sqref="AR78"/>
      <selection pane="bottomRight" activeCell="AR78" sqref="AR78"/>
    </sheetView>
  </sheetViews>
  <sheetFormatPr defaultColWidth="9.140625" defaultRowHeight="15"/>
  <cols>
    <col min="2" max="2" width="21.140625" customWidth="1"/>
    <col min="3" max="3" width="9" customWidth="1"/>
    <col min="4" max="4" width="28.85546875" customWidth="1"/>
    <col min="5" max="5" width="31.85546875" customWidth="1"/>
    <col min="6" max="6" width="5.7109375" customWidth="1"/>
  </cols>
  <sheetData>
    <row r="1" spans="2:30" ht="18.75">
      <c r="C1" s="604" t="s">
        <v>772</v>
      </c>
    </row>
    <row r="2" spans="2:30">
      <c r="D2" s="605">
        <v>43700</v>
      </c>
    </row>
    <row r="4" spans="2:30">
      <c r="G4" t="s">
        <v>773</v>
      </c>
      <c r="L4" t="s">
        <v>774</v>
      </c>
    </row>
    <row r="5" spans="2:30">
      <c r="C5" s="16" t="s">
        <v>775</v>
      </c>
      <c r="D5" s="17"/>
    </row>
    <row r="6" spans="2:30">
      <c r="C6" t="s">
        <v>776</v>
      </c>
    </row>
    <row r="7" spans="2:30">
      <c r="C7" s="63" t="s">
        <v>777</v>
      </c>
    </row>
    <row r="8" spans="2:30">
      <c r="C8" t="s">
        <v>778</v>
      </c>
      <c r="G8" t="s">
        <v>779</v>
      </c>
    </row>
    <row r="9" spans="2:30">
      <c r="G9" s="601">
        <v>2020</v>
      </c>
      <c r="H9" s="601"/>
      <c r="I9" s="601"/>
      <c r="J9" s="601"/>
      <c r="K9" s="2">
        <v>2021</v>
      </c>
      <c r="L9" s="2"/>
      <c r="M9" s="2"/>
      <c r="N9" s="2"/>
      <c r="O9" s="601">
        <v>2022</v>
      </c>
      <c r="P9" s="601"/>
      <c r="Q9" s="601"/>
      <c r="R9" s="601"/>
      <c r="S9" s="2">
        <v>2023</v>
      </c>
      <c r="T9" s="2"/>
      <c r="U9" s="2"/>
      <c r="V9" s="2"/>
      <c r="W9" s="601">
        <v>2024</v>
      </c>
      <c r="X9" s="601"/>
      <c r="Y9" s="601"/>
      <c r="Z9" s="601"/>
      <c r="AA9" s="2">
        <v>2025</v>
      </c>
      <c r="AB9" s="2"/>
      <c r="AC9" s="2"/>
      <c r="AD9" s="2"/>
    </row>
    <row r="10" spans="2:30">
      <c r="G10" s="557" t="s">
        <v>548</v>
      </c>
      <c r="H10" s="557" t="s">
        <v>549</v>
      </c>
      <c r="I10" s="557" t="s">
        <v>780</v>
      </c>
      <c r="J10" s="557" t="s">
        <v>551</v>
      </c>
      <c r="K10" s="557" t="s">
        <v>548</v>
      </c>
      <c r="L10" s="557" t="s">
        <v>549</v>
      </c>
      <c r="M10" s="557" t="s">
        <v>780</v>
      </c>
      <c r="N10" s="557" t="s">
        <v>551</v>
      </c>
      <c r="O10" s="557" t="s">
        <v>548</v>
      </c>
      <c r="P10" s="557" t="s">
        <v>549</v>
      </c>
      <c r="Q10" s="557" t="s">
        <v>780</v>
      </c>
      <c r="R10" s="557" t="s">
        <v>551</v>
      </c>
      <c r="S10" s="557" t="s">
        <v>548</v>
      </c>
      <c r="T10" s="557" t="s">
        <v>549</v>
      </c>
      <c r="U10" s="557" t="s">
        <v>780</v>
      </c>
      <c r="V10" s="557" t="s">
        <v>551</v>
      </c>
      <c r="W10" s="557" t="s">
        <v>548</v>
      </c>
      <c r="X10" s="557" t="s">
        <v>549</v>
      </c>
      <c r="Y10" s="557" t="s">
        <v>780</v>
      </c>
      <c r="Z10" s="557" t="s">
        <v>551</v>
      </c>
      <c r="AA10" s="557" t="s">
        <v>548</v>
      </c>
      <c r="AB10" s="557" t="s">
        <v>549</v>
      </c>
      <c r="AC10" s="557" t="s">
        <v>780</v>
      </c>
      <c r="AD10" s="557" t="s">
        <v>551</v>
      </c>
    </row>
    <row r="14" spans="2:30">
      <c r="C14" s="606" t="s">
        <v>781</v>
      </c>
      <c r="D14" s="607">
        <f>+SUM(G28:Y28,G34:Z34,G40:Y40,G48:Y48,G53:Y53,G58:Y58,G63:Y63,G69:Y69,G75:Y75,G80:Y80)</f>
        <v>4033.1557927816903</v>
      </c>
    </row>
    <row r="16" spans="2:30">
      <c r="B16" s="73" t="s">
        <v>782</v>
      </c>
      <c r="C16" s="73"/>
      <c r="D16" s="73" t="s">
        <v>783</v>
      </c>
    </row>
    <row r="17" spans="1:26">
      <c r="B17" s="73"/>
      <c r="C17" s="73"/>
      <c r="D17" s="73" t="s">
        <v>784</v>
      </c>
    </row>
    <row r="21" spans="1:26">
      <c r="C21" s="16" t="s">
        <v>785</v>
      </c>
    </row>
    <row r="22" spans="1:26">
      <c r="C22" s="16" t="s">
        <v>786</v>
      </c>
    </row>
    <row r="24" spans="1:26">
      <c r="A24" t="s">
        <v>22</v>
      </c>
      <c r="B24" t="s">
        <v>787</v>
      </c>
      <c r="C24" t="s">
        <v>788</v>
      </c>
      <c r="G24" s="3" t="s">
        <v>789</v>
      </c>
      <c r="H24" s="3"/>
      <c r="I24" s="3"/>
      <c r="J24" s="3"/>
      <c r="K24" s="3"/>
      <c r="L24" s="3"/>
      <c r="M24" s="3"/>
      <c r="N24" s="3"/>
      <c r="O24" s="3"/>
      <c r="P24" s="3"/>
      <c r="Q24" s="3"/>
      <c r="R24" s="3"/>
      <c r="S24" s="3"/>
      <c r="T24" s="3"/>
      <c r="U24" s="3"/>
      <c r="V24" s="3"/>
      <c r="W24" s="3"/>
      <c r="X24" s="3"/>
      <c r="Y24" s="3"/>
    </row>
    <row r="25" spans="1:26">
      <c r="C25">
        <v>110000</v>
      </c>
      <c r="D25" t="s">
        <v>790</v>
      </c>
      <c r="E25" t="s">
        <v>791</v>
      </c>
      <c r="H25" s="608"/>
      <c r="I25" s="608">
        <v>135.72222222222223</v>
      </c>
      <c r="J25" s="608">
        <v>135.72222222222223</v>
      </c>
      <c r="K25" s="608">
        <v>135.72222222222223</v>
      </c>
      <c r="L25" s="608">
        <v>135.72222222222223</v>
      </c>
      <c r="M25" s="608">
        <v>135.72222222222223</v>
      </c>
      <c r="N25" s="608">
        <v>135.72222222222223</v>
      </c>
      <c r="O25" s="608">
        <v>135.72222222222223</v>
      </c>
      <c r="P25" s="608">
        <v>135.72222222222223</v>
      </c>
      <c r="Q25" s="608">
        <v>135.72222222222223</v>
      </c>
      <c r="R25" s="608">
        <v>135.72222222222223</v>
      </c>
      <c r="S25" s="608">
        <v>135.72222222222223</v>
      </c>
      <c r="T25" s="608">
        <v>135.72222222222223</v>
      </c>
      <c r="U25" s="608">
        <v>135.72222222222223</v>
      </c>
      <c r="V25" s="608">
        <v>135.72222222222223</v>
      </c>
      <c r="W25" s="608">
        <v>135.72222222222223</v>
      </c>
      <c r="X25" s="608">
        <v>135.72222222222223</v>
      </c>
      <c r="Y25" s="608">
        <v>135.72222222222223</v>
      </c>
      <c r="Z25" s="608">
        <v>135.72222222222223</v>
      </c>
    </row>
    <row r="26" spans="1:26">
      <c r="A26" t="s">
        <v>32</v>
      </c>
      <c r="B26" t="str">
        <f>VLOOKUP(A26,'Price Table 8 APCO'!A:F,2,FALSE)</f>
        <v>Management</v>
      </c>
      <c r="C26">
        <v>110000</v>
      </c>
      <c r="D26" t="s">
        <v>790</v>
      </c>
      <c r="E26" t="s">
        <v>792</v>
      </c>
      <c r="H26" s="93"/>
      <c r="I26" s="93">
        <v>17.637341725352115</v>
      </c>
      <c r="J26" s="93">
        <v>17.637341725352115</v>
      </c>
      <c r="K26" s="93">
        <v>17.637341725352115</v>
      </c>
      <c r="L26" s="93">
        <v>17.637341725352115</v>
      </c>
      <c r="M26" s="93">
        <v>17.637341725352115</v>
      </c>
      <c r="N26" s="93">
        <v>17.637341725352115</v>
      </c>
      <c r="O26" s="93">
        <v>17.637341725352115</v>
      </c>
      <c r="P26" s="93">
        <v>17.637341725352115</v>
      </c>
      <c r="Q26" s="93">
        <v>17.637341725352115</v>
      </c>
      <c r="R26" s="93">
        <v>17.637341725352115</v>
      </c>
      <c r="S26" s="93">
        <v>17.637341725352115</v>
      </c>
      <c r="T26" s="93">
        <v>17.637341725352115</v>
      </c>
      <c r="U26" s="93">
        <v>17.637341725352115</v>
      </c>
      <c r="V26" s="93">
        <v>17.637341725352115</v>
      </c>
      <c r="W26" s="93">
        <v>17.637341725352115</v>
      </c>
      <c r="X26" s="93">
        <v>17.637341725352115</v>
      </c>
      <c r="Y26" s="93">
        <v>17.637341725352115</v>
      </c>
      <c r="Z26" s="93">
        <v>17.637341725352115</v>
      </c>
    </row>
    <row r="27" spans="1:26">
      <c r="A27" t="s">
        <v>32</v>
      </c>
      <c r="B27" t="str">
        <f>VLOOKUP(A27,'Price Table 8 APCO'!A:F,2,FALSE)</f>
        <v>Management</v>
      </c>
      <c r="C27">
        <v>110000</v>
      </c>
      <c r="D27" t="s">
        <v>790</v>
      </c>
      <c r="E27" t="s">
        <v>793</v>
      </c>
      <c r="H27" s="93"/>
      <c r="I27" s="93">
        <v>3.8028169014084514</v>
      </c>
      <c r="J27" s="93"/>
      <c r="K27" s="93">
        <v>3.8028169014084514</v>
      </c>
      <c r="L27" s="93"/>
      <c r="M27" s="93">
        <v>3.8028169014084514</v>
      </c>
      <c r="N27" s="93"/>
      <c r="O27" s="93">
        <v>3.8028169014084514</v>
      </c>
      <c r="P27" s="93"/>
      <c r="Q27" s="93">
        <v>3.8028169014084514</v>
      </c>
      <c r="R27" s="93"/>
      <c r="S27" s="93">
        <v>3.8028169014084514</v>
      </c>
      <c r="T27" s="93"/>
      <c r="U27" s="93">
        <v>3.8028169014084514</v>
      </c>
      <c r="V27" s="93"/>
      <c r="W27" s="93">
        <v>3.8028169014084514</v>
      </c>
      <c r="X27" s="93"/>
      <c r="Y27" s="93">
        <v>3.8028169014084514</v>
      </c>
      <c r="Z27" s="93">
        <v>3.8028169014084514</v>
      </c>
    </row>
    <row r="28" spans="1:26">
      <c r="E28" t="s">
        <v>794</v>
      </c>
      <c r="H28" s="93"/>
      <c r="I28" s="93">
        <f t="shared" ref="I28:Z28" si="0">+I26+I27</f>
        <v>21.440158626760567</v>
      </c>
      <c r="J28" s="93">
        <f t="shared" si="0"/>
        <v>17.637341725352115</v>
      </c>
      <c r="K28" s="93">
        <f t="shared" si="0"/>
        <v>21.440158626760567</v>
      </c>
      <c r="L28" s="93">
        <f t="shared" si="0"/>
        <v>17.637341725352115</v>
      </c>
      <c r="M28" s="93">
        <f t="shared" si="0"/>
        <v>21.440158626760567</v>
      </c>
      <c r="N28" s="93">
        <f t="shared" si="0"/>
        <v>17.637341725352115</v>
      </c>
      <c r="O28" s="93">
        <f t="shared" si="0"/>
        <v>21.440158626760567</v>
      </c>
      <c r="P28" s="93">
        <f t="shared" si="0"/>
        <v>17.637341725352115</v>
      </c>
      <c r="Q28" s="93">
        <f t="shared" si="0"/>
        <v>21.440158626760567</v>
      </c>
      <c r="R28" s="93">
        <f t="shared" si="0"/>
        <v>17.637341725352115</v>
      </c>
      <c r="S28" s="93">
        <f t="shared" si="0"/>
        <v>21.440158626760567</v>
      </c>
      <c r="T28" s="93">
        <f t="shared" si="0"/>
        <v>17.637341725352115</v>
      </c>
      <c r="U28" s="93">
        <f t="shared" si="0"/>
        <v>21.440158626760567</v>
      </c>
      <c r="V28" s="93">
        <f t="shared" si="0"/>
        <v>17.637341725352115</v>
      </c>
      <c r="W28" s="93">
        <f t="shared" si="0"/>
        <v>21.440158626760567</v>
      </c>
      <c r="X28" s="93">
        <f t="shared" si="0"/>
        <v>17.637341725352115</v>
      </c>
      <c r="Y28" s="93">
        <f t="shared" si="0"/>
        <v>21.440158626760567</v>
      </c>
      <c r="Z28" s="93">
        <f t="shared" si="0"/>
        <v>21.440158626760567</v>
      </c>
    </row>
    <row r="30" spans="1:26">
      <c r="C30" t="s">
        <v>795</v>
      </c>
      <c r="G30" s="3" t="s">
        <v>796</v>
      </c>
      <c r="H30" s="3"/>
      <c r="I30" s="3"/>
      <c r="J30" s="3"/>
      <c r="K30" s="3"/>
      <c r="L30" s="3"/>
      <c r="M30" s="3"/>
      <c r="N30" s="3"/>
      <c r="O30" s="3"/>
      <c r="P30" s="3"/>
      <c r="Q30" s="3"/>
      <c r="R30" s="3"/>
      <c r="S30" s="3"/>
      <c r="T30" s="609" t="s">
        <v>797</v>
      </c>
      <c r="U30" s="2"/>
      <c r="V30" s="2"/>
      <c r="W30" s="2"/>
      <c r="X30" s="2"/>
      <c r="Y30" s="2"/>
    </row>
    <row r="31" spans="1:26">
      <c r="C31">
        <v>130000</v>
      </c>
      <c r="D31" t="s">
        <v>75</v>
      </c>
      <c r="E31" t="s">
        <v>791</v>
      </c>
      <c r="I31" s="608">
        <v>53.166666666666664</v>
      </c>
      <c r="J31" s="608">
        <v>53.166666666666664</v>
      </c>
      <c r="K31" s="608">
        <v>53.166666666666664</v>
      </c>
      <c r="L31" s="608">
        <v>53.166666666666664</v>
      </c>
      <c r="M31" s="608">
        <v>53.166666666666664</v>
      </c>
      <c r="N31" s="608">
        <v>53.166666666666664</v>
      </c>
      <c r="O31" s="608">
        <v>53.166666666666664</v>
      </c>
      <c r="P31" s="608">
        <v>53.166666666666664</v>
      </c>
      <c r="Q31" s="608">
        <v>53.166666666666664</v>
      </c>
      <c r="R31" s="608">
        <v>53.166666666666664</v>
      </c>
      <c r="S31" s="608">
        <v>53.166666666666664</v>
      </c>
      <c r="T31" s="608">
        <v>53.166666666666664</v>
      </c>
      <c r="U31" s="608">
        <v>53.166666666666664</v>
      </c>
      <c r="V31" s="608">
        <v>53.166666666666664</v>
      </c>
      <c r="W31" s="608">
        <v>53.166666666666664</v>
      </c>
      <c r="X31" s="608">
        <v>53.166666666666664</v>
      </c>
      <c r="Y31" s="608">
        <v>53.166666666666664</v>
      </c>
      <c r="Z31" s="608">
        <v>53.166666666666664</v>
      </c>
    </row>
    <row r="32" spans="1:26">
      <c r="A32" t="s">
        <v>76</v>
      </c>
      <c r="B32" t="str">
        <f>VLOOKUP(A32,'Price Table 8 APCO'!A:F,2,FALSE)</f>
        <v>Product Assurance</v>
      </c>
      <c r="C32">
        <v>130000</v>
      </c>
      <c r="D32" t="s">
        <v>75</v>
      </c>
      <c r="E32" t="s">
        <v>792</v>
      </c>
      <c r="I32" s="93">
        <v>5.1859964788732391</v>
      </c>
      <c r="J32" s="93">
        <v>5.1859964788732391</v>
      </c>
      <c r="K32" s="93">
        <v>5.1859964788732391</v>
      </c>
      <c r="L32" s="93">
        <v>5.1859964788732391</v>
      </c>
      <c r="M32" s="93">
        <v>5.1859964788732391</v>
      </c>
      <c r="N32" s="93">
        <v>5.1859964788732391</v>
      </c>
      <c r="O32" s="93">
        <v>5.1859964788732391</v>
      </c>
      <c r="P32" s="93">
        <v>5.1859964788732391</v>
      </c>
      <c r="Q32" s="93">
        <v>5.1859964788732391</v>
      </c>
      <c r="R32" s="93">
        <v>5.1859964788732391</v>
      </c>
      <c r="S32" s="93">
        <v>5.1859964788732391</v>
      </c>
      <c r="T32" s="93">
        <v>5.1859964788732391</v>
      </c>
      <c r="U32" s="93">
        <v>5.1859964788732391</v>
      </c>
      <c r="V32" s="93">
        <v>5.1859964788732391</v>
      </c>
      <c r="W32" s="93">
        <v>5.1859964788732391</v>
      </c>
      <c r="X32" s="93">
        <v>5.1859964788732391</v>
      </c>
      <c r="Y32" s="93">
        <v>5.1859964788732391</v>
      </c>
      <c r="Z32" s="93">
        <v>5.1859964788732391</v>
      </c>
    </row>
    <row r="33" spans="1:26">
      <c r="C33">
        <v>130000</v>
      </c>
      <c r="D33" t="s">
        <v>75</v>
      </c>
      <c r="E33" t="s">
        <v>793</v>
      </c>
      <c r="I33" s="93"/>
      <c r="J33" s="93"/>
      <c r="K33" s="93"/>
      <c r="L33" s="93"/>
      <c r="M33" s="93"/>
      <c r="N33" s="93"/>
      <c r="O33" s="93"/>
      <c r="P33" s="93"/>
      <c r="Q33" s="93"/>
      <c r="R33" s="93"/>
      <c r="S33" s="93"/>
      <c r="T33" s="93"/>
      <c r="U33" s="93"/>
      <c r="V33" s="93"/>
      <c r="W33" s="93"/>
      <c r="X33" s="93"/>
      <c r="Y33" s="93"/>
      <c r="Z33" s="93"/>
    </row>
    <row r="34" spans="1:26">
      <c r="E34" t="s">
        <v>794</v>
      </c>
      <c r="I34" s="93">
        <f t="shared" ref="I34:Z34" si="1">+I32+I33</f>
        <v>5.1859964788732391</v>
      </c>
      <c r="J34" s="93">
        <f t="shared" si="1"/>
        <v>5.1859964788732391</v>
      </c>
      <c r="K34" s="93">
        <f t="shared" si="1"/>
        <v>5.1859964788732391</v>
      </c>
      <c r="L34" s="93">
        <f t="shared" si="1"/>
        <v>5.1859964788732391</v>
      </c>
      <c r="M34" s="93">
        <f t="shared" si="1"/>
        <v>5.1859964788732391</v>
      </c>
      <c r="N34" s="93">
        <f t="shared" si="1"/>
        <v>5.1859964788732391</v>
      </c>
      <c r="O34" s="93">
        <f t="shared" si="1"/>
        <v>5.1859964788732391</v>
      </c>
      <c r="P34" s="93">
        <f t="shared" si="1"/>
        <v>5.1859964788732391</v>
      </c>
      <c r="Q34" s="93">
        <f t="shared" si="1"/>
        <v>5.1859964788732391</v>
      </c>
      <c r="R34" s="93">
        <f t="shared" si="1"/>
        <v>5.1859964788732391</v>
      </c>
      <c r="S34" s="93">
        <f t="shared" si="1"/>
        <v>5.1859964788732391</v>
      </c>
      <c r="T34" s="93">
        <f t="shared" si="1"/>
        <v>5.1859964788732391</v>
      </c>
      <c r="U34" s="93">
        <f t="shared" si="1"/>
        <v>5.1859964788732391</v>
      </c>
      <c r="V34" s="93">
        <f t="shared" si="1"/>
        <v>5.1859964788732391</v>
      </c>
      <c r="W34" s="93">
        <f t="shared" si="1"/>
        <v>5.1859964788732391</v>
      </c>
      <c r="X34" s="93">
        <f t="shared" si="1"/>
        <v>5.1859964788732391</v>
      </c>
      <c r="Y34" s="93">
        <f t="shared" si="1"/>
        <v>5.1859964788732391</v>
      </c>
      <c r="Z34" s="93">
        <f t="shared" si="1"/>
        <v>5.1859964788732391</v>
      </c>
    </row>
    <row r="36" spans="1:26">
      <c r="C36" t="s">
        <v>798</v>
      </c>
      <c r="I36" s="3"/>
      <c r="J36" s="3"/>
    </row>
    <row r="37" spans="1:26">
      <c r="C37">
        <v>310000</v>
      </c>
      <c r="D37" t="s">
        <v>799</v>
      </c>
      <c r="E37" t="s">
        <v>791</v>
      </c>
      <c r="I37" s="608">
        <v>477.5</v>
      </c>
      <c r="J37" s="608">
        <v>477.5</v>
      </c>
    </row>
    <row r="38" spans="1:26">
      <c r="A38" t="s">
        <v>62</v>
      </c>
      <c r="B38" t="str">
        <f>VLOOKUP(A38,'Price Table 8 APCO'!A:F,2,FALSE)</f>
        <v>(Project &amp; Mission) Engineering</v>
      </c>
      <c r="C38">
        <v>310000</v>
      </c>
      <c r="D38" t="s">
        <v>799</v>
      </c>
      <c r="E38" t="s">
        <v>792</v>
      </c>
      <c r="I38" s="93">
        <v>56.695099119718314</v>
      </c>
      <c r="J38" s="93">
        <v>56.695099119718314</v>
      </c>
    </row>
    <row r="39" spans="1:26">
      <c r="C39">
        <v>310000</v>
      </c>
      <c r="D39" t="s">
        <v>799</v>
      </c>
      <c r="E39" t="s">
        <v>793</v>
      </c>
      <c r="I39" s="93"/>
      <c r="J39" s="93"/>
    </row>
    <row r="40" spans="1:26">
      <c r="E40" t="s">
        <v>794</v>
      </c>
      <c r="I40" s="93">
        <f t="shared" ref="I40:J40" si="2">+I38+I39</f>
        <v>56.695099119718314</v>
      </c>
      <c r="J40" s="93">
        <f t="shared" si="2"/>
        <v>56.695099119718314</v>
      </c>
    </row>
    <row r="42" spans="1:26">
      <c r="C42" t="s">
        <v>800</v>
      </c>
    </row>
    <row r="43" spans="1:26">
      <c r="C43" t="s">
        <v>801</v>
      </c>
    </row>
    <row r="44" spans="1:26">
      <c r="C44" s="63"/>
      <c r="D44" s="63"/>
      <c r="I44" s="609" t="s">
        <v>797</v>
      </c>
      <c r="J44" s="2"/>
      <c r="K44" s="2"/>
      <c r="L44" s="2"/>
      <c r="M44" s="2"/>
      <c r="N44" s="2"/>
      <c r="O44" s="2"/>
      <c r="P44" s="2"/>
      <c r="Q44" s="2"/>
      <c r="R44" s="2"/>
      <c r="S44" s="2"/>
      <c r="T44" s="2"/>
      <c r="U44" s="2"/>
      <c r="V44" s="2"/>
      <c r="W44" s="2"/>
      <c r="X44" s="2"/>
    </row>
    <row r="45" spans="1:26">
      <c r="C45" s="63">
        <v>490100</v>
      </c>
      <c r="D45" s="63" t="s">
        <v>320</v>
      </c>
      <c r="E45" t="s">
        <v>791</v>
      </c>
      <c r="I45" s="608">
        <v>194.875</v>
      </c>
      <c r="J45" s="608">
        <v>194.875</v>
      </c>
      <c r="K45" s="608">
        <v>194.875</v>
      </c>
      <c r="L45" s="608">
        <v>194.875</v>
      </c>
      <c r="M45" s="608">
        <v>194.875</v>
      </c>
      <c r="N45" s="608">
        <v>194.875</v>
      </c>
      <c r="O45" s="608">
        <v>194.875</v>
      </c>
      <c r="P45" s="608">
        <v>194.875</v>
      </c>
      <c r="Q45" s="608">
        <v>194.875</v>
      </c>
      <c r="R45" s="608">
        <v>194.875</v>
      </c>
      <c r="S45" s="608">
        <v>194.875</v>
      </c>
      <c r="T45" s="608">
        <v>194.875</v>
      </c>
      <c r="U45" s="608">
        <v>194.875</v>
      </c>
      <c r="V45" s="608">
        <v>194.875</v>
      </c>
      <c r="W45" s="608">
        <v>194.875</v>
      </c>
      <c r="X45" s="608">
        <v>194.875</v>
      </c>
    </row>
    <row r="46" spans="1:26">
      <c r="A46" t="s">
        <v>321</v>
      </c>
      <c r="B46" t="str">
        <f>VLOOKUP(A46,'Price Table 8 APCO'!A:F,2,FALSE)</f>
        <v>Structure - Engineering</v>
      </c>
      <c r="C46" s="63">
        <v>490100</v>
      </c>
      <c r="D46" s="63" t="s">
        <v>320</v>
      </c>
      <c r="E46" t="s">
        <v>792</v>
      </c>
      <c r="I46" s="93">
        <v>25.324349339788736</v>
      </c>
      <c r="J46" s="93">
        <v>25.324349339788736</v>
      </c>
      <c r="K46" s="93">
        <v>25.324349339788736</v>
      </c>
      <c r="L46" s="93">
        <v>25.324349339788736</v>
      </c>
      <c r="M46" s="93">
        <v>25.324349339788736</v>
      </c>
      <c r="N46" s="93">
        <v>25.324349339788736</v>
      </c>
      <c r="O46" s="93">
        <v>25.324349339788736</v>
      </c>
      <c r="P46" s="93">
        <v>25.324349339788736</v>
      </c>
      <c r="Q46" s="93">
        <v>25.324349339788736</v>
      </c>
      <c r="R46" s="93">
        <v>25.324349339788736</v>
      </c>
      <c r="S46" s="93">
        <v>25.324349339788736</v>
      </c>
      <c r="T46" s="93">
        <v>25.324349339788736</v>
      </c>
      <c r="U46" s="93">
        <v>25.324349339788736</v>
      </c>
      <c r="V46" s="93">
        <v>25.324349339788736</v>
      </c>
      <c r="W46" s="93">
        <v>25.324349339788736</v>
      </c>
      <c r="X46" s="93">
        <v>25.324349339788736</v>
      </c>
    </row>
    <row r="47" spans="1:26">
      <c r="A47" t="s">
        <v>602</v>
      </c>
      <c r="B47" t="str">
        <f>VLOOKUP(A47,'Price Table 8 APCO'!A:F,2,FALSE)</f>
        <v>Structure - HW</v>
      </c>
      <c r="C47" s="63">
        <v>490100</v>
      </c>
      <c r="D47" s="63" t="s">
        <v>320</v>
      </c>
      <c r="E47" t="s">
        <v>793</v>
      </c>
      <c r="I47" s="93"/>
      <c r="J47" s="93"/>
      <c r="K47" s="93"/>
      <c r="L47" s="93"/>
      <c r="M47" s="93"/>
      <c r="N47" s="93"/>
      <c r="O47" s="93"/>
      <c r="P47" s="93"/>
      <c r="Q47" s="93"/>
      <c r="R47" s="93"/>
      <c r="S47" s="93"/>
      <c r="T47" s="93"/>
      <c r="U47" s="93"/>
      <c r="V47" s="93"/>
      <c r="W47" s="93"/>
      <c r="X47" s="93"/>
    </row>
    <row r="48" spans="1:26">
      <c r="C48" s="63"/>
      <c r="D48" s="63"/>
      <c r="E48" t="s">
        <v>794</v>
      </c>
      <c r="I48" s="93">
        <f t="shared" ref="I48:X48" si="3">+I46+I47</f>
        <v>25.324349339788736</v>
      </c>
      <c r="J48" s="93">
        <f t="shared" si="3"/>
        <v>25.324349339788736</v>
      </c>
      <c r="K48" s="93">
        <f t="shared" si="3"/>
        <v>25.324349339788736</v>
      </c>
      <c r="L48" s="93">
        <f t="shared" si="3"/>
        <v>25.324349339788736</v>
      </c>
      <c r="M48" s="93">
        <f t="shared" si="3"/>
        <v>25.324349339788736</v>
      </c>
      <c r="N48" s="93">
        <f t="shared" si="3"/>
        <v>25.324349339788736</v>
      </c>
      <c r="O48" s="93">
        <f t="shared" si="3"/>
        <v>25.324349339788736</v>
      </c>
      <c r="P48" s="93">
        <f t="shared" si="3"/>
        <v>25.324349339788736</v>
      </c>
      <c r="Q48" s="93">
        <f t="shared" si="3"/>
        <v>25.324349339788736</v>
      </c>
      <c r="R48" s="93">
        <f t="shared" si="3"/>
        <v>25.324349339788736</v>
      </c>
      <c r="S48" s="93">
        <f t="shared" si="3"/>
        <v>25.324349339788736</v>
      </c>
      <c r="T48" s="93">
        <f t="shared" si="3"/>
        <v>25.324349339788736</v>
      </c>
      <c r="U48" s="93">
        <f t="shared" si="3"/>
        <v>25.324349339788736</v>
      </c>
      <c r="V48" s="93">
        <f t="shared" si="3"/>
        <v>25.324349339788736</v>
      </c>
      <c r="W48" s="93">
        <f t="shared" si="3"/>
        <v>25.324349339788736</v>
      </c>
      <c r="X48" s="93">
        <f t="shared" si="3"/>
        <v>25.324349339788736</v>
      </c>
    </row>
    <row r="49" spans="1:22">
      <c r="C49" s="63"/>
      <c r="D49" s="63"/>
      <c r="I49" s="3"/>
      <c r="J49" s="3"/>
    </row>
    <row r="50" spans="1:22">
      <c r="C50" s="63">
        <v>490200</v>
      </c>
      <c r="D50" s="63" t="s">
        <v>322</v>
      </c>
      <c r="E50" t="s">
        <v>791</v>
      </c>
      <c r="I50" s="608">
        <v>1700</v>
      </c>
      <c r="J50" s="608">
        <v>1700</v>
      </c>
    </row>
    <row r="51" spans="1:22">
      <c r="A51" t="s">
        <v>321</v>
      </c>
      <c r="B51" t="str">
        <f>VLOOKUP(A51,'Price Table 8 APCO'!A:F,2,FALSE)</f>
        <v>Structure - Engineering</v>
      </c>
      <c r="C51" s="63">
        <v>490200</v>
      </c>
      <c r="D51" s="63" t="s">
        <v>322</v>
      </c>
      <c r="E51" t="s">
        <v>792</v>
      </c>
      <c r="I51" s="93">
        <v>198.35946443661976</v>
      </c>
      <c r="J51" s="93">
        <v>198.35946443661976</v>
      </c>
    </row>
    <row r="52" spans="1:22">
      <c r="A52" t="s">
        <v>602</v>
      </c>
      <c r="B52" t="str">
        <f>VLOOKUP(A52,'Price Table 8 APCO'!A:F,2,FALSE)</f>
        <v>Structure - HW</v>
      </c>
      <c r="C52" s="63">
        <v>490200</v>
      </c>
      <c r="D52" s="63" t="s">
        <v>322</v>
      </c>
      <c r="E52" t="s">
        <v>793</v>
      </c>
      <c r="I52" s="93"/>
      <c r="J52" s="93"/>
    </row>
    <row r="53" spans="1:22">
      <c r="E53" t="s">
        <v>794</v>
      </c>
      <c r="I53" s="93">
        <f t="shared" ref="I53:J53" si="4">+I51+I52</f>
        <v>198.35946443661976</v>
      </c>
      <c r="J53" s="93">
        <f t="shared" si="4"/>
        <v>198.35946443661976</v>
      </c>
    </row>
    <row r="54" spans="1:22">
      <c r="C54" s="63"/>
      <c r="D54" s="63"/>
      <c r="K54" s="3"/>
      <c r="L54" s="3"/>
      <c r="M54" s="609" t="s">
        <v>797</v>
      </c>
    </row>
    <row r="55" spans="1:22">
      <c r="C55" s="63">
        <v>490300</v>
      </c>
      <c r="D55" s="63" t="s">
        <v>323</v>
      </c>
      <c r="E55" t="s">
        <v>791</v>
      </c>
      <c r="K55" s="608">
        <v>711</v>
      </c>
      <c r="L55" s="608">
        <v>711</v>
      </c>
      <c r="M55" s="608">
        <v>711</v>
      </c>
    </row>
    <row r="56" spans="1:22">
      <c r="A56" t="s">
        <v>321</v>
      </c>
      <c r="B56" t="str">
        <f>VLOOKUP(A56,'Price Table 8 APCO'!A:F,2,FALSE)</f>
        <v>Structure - Engineering</v>
      </c>
      <c r="C56" s="63">
        <v>490300</v>
      </c>
      <c r="D56" s="63" t="s">
        <v>323</v>
      </c>
      <c r="E56" t="s">
        <v>792</v>
      </c>
      <c r="K56" s="93">
        <v>82.591412323943672</v>
      </c>
      <c r="L56" s="93">
        <v>82.591412323943672</v>
      </c>
      <c r="M56" s="93">
        <v>82.591412323943672</v>
      </c>
    </row>
    <row r="57" spans="1:22">
      <c r="A57" t="s">
        <v>602</v>
      </c>
      <c r="B57" t="str">
        <f>VLOOKUP(A57,'Price Table 8 APCO'!A:F,2,FALSE)</f>
        <v>Structure - HW</v>
      </c>
      <c r="C57" s="63">
        <v>490300</v>
      </c>
      <c r="D57" s="63" t="s">
        <v>323</v>
      </c>
      <c r="E57" t="s">
        <v>793</v>
      </c>
      <c r="K57" s="93"/>
      <c r="L57" s="93"/>
      <c r="M57" s="93"/>
    </row>
    <row r="58" spans="1:22">
      <c r="C58" s="63"/>
      <c r="D58" s="63"/>
      <c r="E58" t="s">
        <v>794</v>
      </c>
      <c r="K58" s="93">
        <f t="shared" ref="K58:M58" si="5">+K56+K57</f>
        <v>82.591412323943672</v>
      </c>
      <c r="L58" s="93">
        <f t="shared" si="5"/>
        <v>82.591412323943672</v>
      </c>
      <c r="M58" s="93">
        <f t="shared" si="5"/>
        <v>82.591412323943672</v>
      </c>
    </row>
    <row r="59" spans="1:22">
      <c r="C59" s="63"/>
      <c r="D59" s="63"/>
      <c r="L59" s="3"/>
      <c r="M59" s="3"/>
      <c r="N59" s="3"/>
      <c r="O59" t="s">
        <v>802</v>
      </c>
    </row>
    <row r="60" spans="1:22">
      <c r="C60" s="63">
        <v>490400</v>
      </c>
      <c r="D60" s="63" t="s">
        <v>324</v>
      </c>
      <c r="E60" t="s">
        <v>791</v>
      </c>
      <c r="M60" s="608">
        <v>2797</v>
      </c>
      <c r="N60" s="608">
        <v>2797</v>
      </c>
    </row>
    <row r="61" spans="1:22">
      <c r="A61" t="s">
        <v>321</v>
      </c>
      <c r="B61" t="str">
        <f>VLOOKUP(A61,'Price Table 8 APCO'!A:F,2,FALSE)</f>
        <v>Structure - Engineering</v>
      </c>
      <c r="C61" s="63">
        <v>490400</v>
      </c>
      <c r="D61" s="63" t="s">
        <v>324</v>
      </c>
      <c r="E61" t="s">
        <v>792</v>
      </c>
      <c r="M61" s="93">
        <v>309.45493838028182</v>
      </c>
      <c r="N61" s="93">
        <v>309.45493838028182</v>
      </c>
    </row>
    <row r="62" spans="1:22">
      <c r="A62" t="s">
        <v>602</v>
      </c>
      <c r="B62" t="str">
        <f>VLOOKUP(A62,'Price Table 8 APCO'!A:F,2,FALSE)</f>
        <v>Structure - HW</v>
      </c>
      <c r="C62" s="63">
        <v>490400</v>
      </c>
      <c r="D62" s="63" t="s">
        <v>324</v>
      </c>
      <c r="E62" t="s">
        <v>793</v>
      </c>
      <c r="L62" s="93">
        <v>332.61971830985925</v>
      </c>
      <c r="M62" s="93">
        <v>332.61971830985925</v>
      </c>
      <c r="N62" s="93">
        <v>332.61971830985925</v>
      </c>
    </row>
    <row r="63" spans="1:22">
      <c r="C63" s="63"/>
      <c r="D63" s="63"/>
      <c r="E63" t="s">
        <v>794</v>
      </c>
      <c r="L63" s="93">
        <f t="shared" ref="L63:N63" si="6">+L61+L62</f>
        <v>332.61971830985925</v>
      </c>
      <c r="M63" s="93">
        <f t="shared" si="6"/>
        <v>642.07465669014107</v>
      </c>
      <c r="N63" s="93">
        <f t="shared" si="6"/>
        <v>642.07465669014107</v>
      </c>
    </row>
    <row r="64" spans="1:22">
      <c r="C64" s="63"/>
      <c r="D64" s="63"/>
      <c r="J64" s="93"/>
      <c r="K64" s="93"/>
      <c r="L64" s="93"/>
      <c r="V64" s="93"/>
    </row>
    <row r="65" spans="1:21">
      <c r="C65" s="63"/>
      <c r="D65" s="63"/>
      <c r="N65" s="3" t="s">
        <v>803</v>
      </c>
      <c r="O65" s="3"/>
      <c r="P65" s="3"/>
      <c r="Q65" s="3"/>
    </row>
    <row r="66" spans="1:21">
      <c r="C66" s="63">
        <v>490500</v>
      </c>
      <c r="D66" s="63" t="s">
        <v>329</v>
      </c>
      <c r="E66" t="s">
        <v>791</v>
      </c>
      <c r="P66" s="608">
        <v>779.5</v>
      </c>
      <c r="Q66" s="608">
        <v>779.5</v>
      </c>
    </row>
    <row r="67" spans="1:21">
      <c r="A67" t="s">
        <v>321</v>
      </c>
      <c r="B67" t="str">
        <f>VLOOKUP(A67,'Price Table 8 APCO'!A:F,2,FALSE)</f>
        <v>Structure - Engineering</v>
      </c>
      <c r="C67" s="63">
        <v>490500</v>
      </c>
      <c r="D67" s="63" t="s">
        <v>329</v>
      </c>
      <c r="E67" t="s">
        <v>792</v>
      </c>
      <c r="P67" s="93">
        <v>86.170913556338036</v>
      </c>
      <c r="Q67" s="93">
        <v>86.170913556338036</v>
      </c>
    </row>
    <row r="68" spans="1:21">
      <c r="A68" t="s">
        <v>602</v>
      </c>
      <c r="B68" t="str">
        <f>VLOOKUP(A68,'Price Table 8 APCO'!A:F,2,FALSE)</f>
        <v>Structure - HW</v>
      </c>
      <c r="C68" s="63">
        <v>490500</v>
      </c>
      <c r="D68" s="63" t="s">
        <v>329</v>
      </c>
      <c r="E68" t="s">
        <v>793</v>
      </c>
      <c r="Q68" s="93">
        <v>47.535211267605639</v>
      </c>
    </row>
    <row r="69" spans="1:21">
      <c r="C69" s="63"/>
      <c r="E69" t="s">
        <v>794</v>
      </c>
      <c r="N69" s="93">
        <f t="shared" ref="N69:Q69" si="7">+N67+N68</f>
        <v>0</v>
      </c>
      <c r="O69" s="93">
        <f t="shared" si="7"/>
        <v>0</v>
      </c>
      <c r="P69" s="93">
        <f t="shared" si="7"/>
        <v>86.170913556338036</v>
      </c>
      <c r="Q69" s="93">
        <f t="shared" si="7"/>
        <v>133.70612482394367</v>
      </c>
    </row>
    <row r="71" spans="1:21">
      <c r="C71" t="s">
        <v>804</v>
      </c>
      <c r="P71" s="3" t="s">
        <v>805</v>
      </c>
      <c r="Q71" s="3"/>
      <c r="R71" s="3"/>
      <c r="S71" s="3"/>
    </row>
    <row r="72" spans="1:21">
      <c r="C72">
        <v>510000</v>
      </c>
      <c r="D72" t="s">
        <v>806</v>
      </c>
      <c r="E72" t="s">
        <v>791</v>
      </c>
      <c r="P72" s="608">
        <v>2352</v>
      </c>
      <c r="Q72" s="608">
        <v>2352</v>
      </c>
    </row>
    <row r="73" spans="1:21">
      <c r="A73" t="s">
        <v>351</v>
      </c>
      <c r="B73" t="str">
        <f>VLOOKUP(A73,'Price Table 8 APCO'!A:F,2,FALSE)</f>
        <v>(System level) Assembly, Integration and Testing,Verification</v>
      </c>
      <c r="C73">
        <v>510000</v>
      </c>
      <c r="D73" t="s">
        <v>806</v>
      </c>
      <c r="E73" t="s">
        <v>792</v>
      </c>
      <c r="P73" s="93">
        <v>257.98605052816907</v>
      </c>
      <c r="Q73" s="93">
        <v>257.98605052816907</v>
      </c>
    </row>
    <row r="74" spans="1:21">
      <c r="C74">
        <v>510000</v>
      </c>
      <c r="D74" t="s">
        <v>806</v>
      </c>
      <c r="E74" t="s">
        <v>793</v>
      </c>
      <c r="P74" s="93"/>
      <c r="Q74" s="93"/>
    </row>
    <row r="75" spans="1:21">
      <c r="E75" t="s">
        <v>794</v>
      </c>
      <c r="P75" s="93">
        <f t="shared" ref="P75:S75" si="8">+P73+P74</f>
        <v>257.98605052816907</v>
      </c>
      <c r="Q75" s="93">
        <f t="shared" si="8"/>
        <v>257.98605052816907</v>
      </c>
      <c r="R75" s="93">
        <f t="shared" si="8"/>
        <v>0</v>
      </c>
      <c r="S75" s="93">
        <f t="shared" si="8"/>
        <v>0</v>
      </c>
    </row>
    <row r="76" spans="1:21">
      <c r="C76" t="s">
        <v>807</v>
      </c>
      <c r="D76" s="73" t="s">
        <v>808</v>
      </c>
      <c r="Q76" s="609" t="s">
        <v>797</v>
      </c>
      <c r="R76" s="2" t="s">
        <v>809</v>
      </c>
      <c r="S76" s="2"/>
      <c r="T76" s="2"/>
      <c r="U76" s="2"/>
    </row>
    <row r="77" spans="1:21">
      <c r="C77">
        <v>540000</v>
      </c>
      <c r="D77" t="s">
        <v>810</v>
      </c>
      <c r="E77" t="s">
        <v>791</v>
      </c>
      <c r="T77" s="608">
        <v>346.5</v>
      </c>
      <c r="U77" s="608">
        <v>346.5</v>
      </c>
    </row>
    <row r="78" spans="1:21">
      <c r="A78" t="s">
        <v>351</v>
      </c>
      <c r="B78" t="str">
        <f>VLOOKUP(A78,'Price Table 8 APCO'!A:F,2,FALSE)</f>
        <v>(System level) Assembly, Integration and Testing,Verification</v>
      </c>
      <c r="C78">
        <v>540000</v>
      </c>
      <c r="D78" t="s">
        <v>810</v>
      </c>
      <c r="E78" t="s">
        <v>792</v>
      </c>
      <c r="T78" s="93">
        <v>45.028285035211276</v>
      </c>
      <c r="U78" s="93">
        <v>45.028285035211276</v>
      </c>
    </row>
    <row r="79" spans="1:21">
      <c r="C79">
        <v>540000</v>
      </c>
      <c r="D79" t="s">
        <v>810</v>
      </c>
      <c r="E79" t="s">
        <v>793</v>
      </c>
      <c r="T79" s="93"/>
      <c r="U79" s="93"/>
    </row>
    <row r="80" spans="1:21">
      <c r="E80" t="s">
        <v>794</v>
      </c>
      <c r="T80" s="93">
        <f t="shared" ref="T80:U80" si="9">+T78+T79</f>
        <v>45.028285035211276</v>
      </c>
      <c r="U80" s="93">
        <f t="shared" si="9"/>
        <v>45.028285035211276</v>
      </c>
    </row>
    <row r="82" spans="3:12" s="610" customFormat="1" ht="7.5" customHeight="1"/>
    <row r="83" spans="3:12">
      <c r="C83" t="s">
        <v>811</v>
      </c>
    </row>
    <row r="84" spans="3:12">
      <c r="E84" t="s">
        <v>812</v>
      </c>
      <c r="K84" t="s">
        <v>813</v>
      </c>
      <c r="L84" t="s">
        <v>814</v>
      </c>
    </row>
    <row r="85" spans="3:12">
      <c r="E85" t="s">
        <v>815</v>
      </c>
      <c r="K85" t="s">
        <v>813</v>
      </c>
      <c r="L85">
        <v>1100</v>
      </c>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499984740745262"/>
  </sheetPr>
  <dimension ref="A2:AL77"/>
  <sheetViews>
    <sheetView topLeftCell="L34" zoomScale="130" zoomScaleNormal="130" workbookViewId="0">
      <selection activeCell="B11" sqref="B11"/>
    </sheetView>
  </sheetViews>
  <sheetFormatPr defaultColWidth="11.42578125" defaultRowHeight="15" outlineLevelRow="1"/>
  <cols>
    <col min="1" max="1" width="7.42578125" customWidth="1"/>
    <col min="2" max="2" width="35.28515625" customWidth="1"/>
    <col min="3" max="3" width="9.28515625" customWidth="1"/>
    <col min="4" max="4" width="7" customWidth="1"/>
    <col min="7" max="7" width="15.140625" customWidth="1"/>
    <col min="8" max="9" width="13.7109375" customWidth="1"/>
    <col min="10" max="10" width="14.28515625" customWidth="1"/>
    <col min="12" max="12" width="12.7109375" bestFit="1" customWidth="1"/>
    <col min="13" max="13" width="14.7109375" customWidth="1"/>
    <col min="14" max="14" width="5" customWidth="1"/>
    <col min="18" max="18" width="11.140625" bestFit="1" customWidth="1"/>
    <col min="19" max="19" width="11" bestFit="1" customWidth="1"/>
    <col min="20" max="20" width="11.140625" bestFit="1" customWidth="1"/>
    <col min="21" max="21" width="12.7109375" bestFit="1" customWidth="1"/>
    <col min="22" max="22" width="11.140625" bestFit="1" customWidth="1"/>
    <col min="23" max="23" width="11" bestFit="1" customWidth="1"/>
    <col min="25" max="26" width="12.7109375" bestFit="1" customWidth="1"/>
  </cols>
  <sheetData>
    <row r="2" spans="1:38">
      <c r="E2" t="s">
        <v>816</v>
      </c>
      <c r="G2">
        <v>1.1359999999999999</v>
      </c>
    </row>
    <row r="3" spans="1:38">
      <c r="E3" t="s">
        <v>817</v>
      </c>
    </row>
    <row r="4" spans="1:38">
      <c r="F4" t="s">
        <v>818</v>
      </c>
      <c r="G4">
        <v>10</v>
      </c>
      <c r="H4">
        <v>12</v>
      </c>
      <c r="I4">
        <v>12</v>
      </c>
      <c r="J4">
        <v>19</v>
      </c>
      <c r="K4">
        <f>SUM(G4:J4)</f>
        <v>53</v>
      </c>
      <c r="O4">
        <v>2020</v>
      </c>
      <c r="S4">
        <v>2021</v>
      </c>
      <c r="W4">
        <v>2022</v>
      </c>
      <c r="AA4">
        <v>2023</v>
      </c>
      <c r="AE4">
        <v>2024</v>
      </c>
      <c r="AI4">
        <v>2025</v>
      </c>
    </row>
    <row r="5" spans="1:38">
      <c r="G5" t="s">
        <v>819</v>
      </c>
      <c r="H5" t="s">
        <v>820</v>
      </c>
      <c r="I5" t="s">
        <v>821</v>
      </c>
      <c r="J5" t="s">
        <v>822</v>
      </c>
      <c r="O5" t="s">
        <v>819</v>
      </c>
      <c r="R5" t="s">
        <v>820</v>
      </c>
      <c r="X5" t="s">
        <v>821</v>
      </c>
      <c r="AB5" t="s">
        <v>822</v>
      </c>
      <c r="AJ5" t="s">
        <v>823</v>
      </c>
    </row>
    <row r="6" spans="1:38">
      <c r="A6" t="s">
        <v>22</v>
      </c>
      <c r="B6" t="s">
        <v>824</v>
      </c>
      <c r="C6" t="s">
        <v>825</v>
      </c>
      <c r="D6" t="s">
        <v>546</v>
      </c>
      <c r="G6" s="300" t="s">
        <v>826</v>
      </c>
      <c r="H6" s="300" t="s">
        <v>827</v>
      </c>
      <c r="I6" s="300" t="s">
        <v>828</v>
      </c>
      <c r="J6" s="300" t="s">
        <v>829</v>
      </c>
      <c r="K6" s="300" t="s">
        <v>830</v>
      </c>
      <c r="O6" t="s">
        <v>548</v>
      </c>
      <c r="P6" t="s">
        <v>549</v>
      </c>
      <c r="Q6" t="s">
        <v>550</v>
      </c>
      <c r="R6" t="s">
        <v>551</v>
      </c>
      <c r="S6" t="s">
        <v>548</v>
      </c>
      <c r="T6" t="s">
        <v>549</v>
      </c>
      <c r="U6" t="s">
        <v>550</v>
      </c>
      <c r="V6" t="s">
        <v>551</v>
      </c>
      <c r="W6" t="s">
        <v>548</v>
      </c>
      <c r="X6" t="s">
        <v>549</v>
      </c>
      <c r="Y6" t="s">
        <v>550</v>
      </c>
      <c r="Z6" t="s">
        <v>551</v>
      </c>
      <c r="AA6" t="s">
        <v>548</v>
      </c>
      <c r="AB6" t="s">
        <v>549</v>
      </c>
      <c r="AC6" t="s">
        <v>550</v>
      </c>
      <c r="AD6" t="s">
        <v>551</v>
      </c>
      <c r="AE6" t="s">
        <v>548</v>
      </c>
      <c r="AF6" t="s">
        <v>549</v>
      </c>
      <c r="AG6" t="s">
        <v>550</v>
      </c>
      <c r="AH6" t="s">
        <v>551</v>
      </c>
      <c r="AI6" t="s">
        <v>548</v>
      </c>
      <c r="AJ6" t="s">
        <v>549</v>
      </c>
      <c r="AK6" t="s">
        <v>550</v>
      </c>
      <c r="AL6" t="s">
        <v>551</v>
      </c>
    </row>
    <row r="7" spans="1:38">
      <c r="A7" t="s">
        <v>32</v>
      </c>
      <c r="B7" t="str">
        <f>VLOOKUP(A7,'Price Table 8 APCO'!A:F,2,FALSE)</f>
        <v>Management</v>
      </c>
      <c r="C7" t="str">
        <f>VLOOKUP(A7,'Price Table 8 APCO'!A:F,6,FALSE)</f>
        <v>Manpower</v>
      </c>
      <c r="D7">
        <v>110000</v>
      </c>
      <c r="E7" t="s">
        <v>831</v>
      </c>
      <c r="F7" t="s">
        <v>744</v>
      </c>
      <c r="G7" s="115">
        <f t="shared" ref="G7:J12" si="0">G$53/$L$53*$K7</f>
        <v>27740.597401104471</v>
      </c>
      <c r="H7" s="115">
        <f t="shared" si="0"/>
        <v>130900.93887728745</v>
      </c>
      <c r="I7" s="115">
        <f t="shared" si="0"/>
        <v>121163.6792580388</v>
      </c>
      <c r="J7" s="115">
        <f t="shared" si="0"/>
        <v>54169.464463569238</v>
      </c>
      <c r="K7" s="115">
        <v>333974.68</v>
      </c>
      <c r="O7" s="302">
        <f>G7/$G$2/1000/3</f>
        <v>8.1398466552536615</v>
      </c>
      <c r="P7" s="302">
        <f>O7</f>
        <v>8.1398466552536615</v>
      </c>
      <c r="Q7" s="302">
        <f>P7</f>
        <v>8.1398466552536615</v>
      </c>
      <c r="R7" s="302">
        <f>H7/$G$2/1000/6</f>
        <v>19.204949952653678</v>
      </c>
      <c r="S7" s="302">
        <f>R7</f>
        <v>19.204949952653678</v>
      </c>
      <c r="T7" s="302">
        <f>S7</f>
        <v>19.204949952653678</v>
      </c>
      <c r="U7" s="302">
        <f t="shared" ref="U7:W7" si="1">T7</f>
        <v>19.204949952653678</v>
      </c>
      <c r="V7" s="302">
        <f t="shared" si="1"/>
        <v>19.204949952653678</v>
      </c>
      <c r="W7" s="302">
        <f t="shared" si="1"/>
        <v>19.204949952653678</v>
      </c>
      <c r="X7" s="302">
        <f>I7/$G$2/1000/4</f>
        <v>26.664542090237415</v>
      </c>
      <c r="Y7" s="302">
        <f t="shared" ref="Y7:AA7" si="2">X7</f>
        <v>26.664542090237415</v>
      </c>
      <c r="Z7" s="302">
        <f t="shared" si="2"/>
        <v>26.664542090237415</v>
      </c>
      <c r="AA7" s="302">
        <f t="shared" si="2"/>
        <v>26.664542090237415</v>
      </c>
      <c r="AB7" s="302">
        <f>J7/$G$2/1000/6</f>
        <v>7.9473979553358634</v>
      </c>
      <c r="AC7" s="302">
        <f t="shared" ref="AC7:AF7" si="3">AB7</f>
        <v>7.9473979553358634</v>
      </c>
      <c r="AD7" s="302">
        <f t="shared" si="3"/>
        <v>7.9473979553358634</v>
      </c>
      <c r="AE7" s="302">
        <f t="shared" si="3"/>
        <v>7.9473979553358634</v>
      </c>
      <c r="AF7" s="302">
        <f t="shared" si="3"/>
        <v>7.9473979553358634</v>
      </c>
      <c r="AG7" s="302">
        <f t="shared" ref="AG7" si="4">AF7</f>
        <v>7.9473979553358634</v>
      </c>
      <c r="AH7" s="302"/>
      <c r="AI7" s="302"/>
    </row>
    <row r="8" spans="1:38">
      <c r="A8" t="s">
        <v>76</v>
      </c>
      <c r="B8" t="str">
        <f>VLOOKUP(A8,'Price Table 8 APCO'!A:F,2,FALSE)</f>
        <v>Product Assurance</v>
      </c>
      <c r="C8" t="str">
        <f>VLOOKUP(A8,'Price Table 8 APCO'!A:F,6,FALSE)</f>
        <v>Manpower</v>
      </c>
      <c r="D8">
        <v>130000</v>
      </c>
      <c r="E8" t="s">
        <v>832</v>
      </c>
      <c r="F8" t="s">
        <v>744</v>
      </c>
      <c r="G8" s="115">
        <f t="shared" si="0"/>
        <v>8157.2402272325689</v>
      </c>
      <c r="H8" s="115">
        <f t="shared" si="0"/>
        <v>38491.975819879335</v>
      </c>
      <c r="I8" s="115">
        <f t="shared" si="0"/>
        <v>35628.693363461149</v>
      </c>
      <c r="J8" s="115">
        <f t="shared" si="0"/>
        <v>15928.760589426935</v>
      </c>
      <c r="K8" s="115">
        <f>S53</f>
        <v>98206.67</v>
      </c>
      <c r="O8" s="302">
        <f t="shared" ref="O8:O20" si="5">G8/$G$2/1000/3</f>
        <v>2.3935564047043925</v>
      </c>
      <c r="P8" s="302">
        <f t="shared" ref="P8:Q8" si="6">O8</f>
        <v>2.3935564047043925</v>
      </c>
      <c r="Q8" s="302">
        <f t="shared" si="6"/>
        <v>2.3935564047043925</v>
      </c>
      <c r="R8" s="302">
        <f t="shared" ref="R8:R21" si="7">H8/$G$2/1000/6</f>
        <v>5.6472969219306544</v>
      </c>
      <c r="S8" s="302">
        <f t="shared" ref="S8:T8" si="8">R8</f>
        <v>5.6472969219306544</v>
      </c>
      <c r="T8" s="302">
        <f t="shared" si="8"/>
        <v>5.6472969219306544</v>
      </c>
      <c r="U8" s="302">
        <f t="shared" ref="U8:W8" si="9">T8</f>
        <v>5.6472969219306544</v>
      </c>
      <c r="V8" s="302">
        <f t="shared" si="9"/>
        <v>5.6472969219306544</v>
      </c>
      <c r="W8" s="302">
        <f t="shared" si="9"/>
        <v>5.6472969219306544</v>
      </c>
      <c r="X8" s="302">
        <f t="shared" ref="X8:X21" si="10">I8/$G$2/1000/4</f>
        <v>7.8408216028743736</v>
      </c>
      <c r="Y8" s="302">
        <f t="shared" ref="Y8:AA8" si="11">X8</f>
        <v>7.8408216028743736</v>
      </c>
      <c r="Z8" s="302">
        <f t="shared" si="11"/>
        <v>7.8408216028743736</v>
      </c>
      <c r="AA8" s="302">
        <f t="shared" si="11"/>
        <v>7.8408216028743736</v>
      </c>
      <c r="AB8" s="302">
        <f t="shared" ref="AB8:AB21" si="12">J8/$G$2/1000/6</f>
        <v>2.3369660489182711</v>
      </c>
      <c r="AC8" s="302">
        <f t="shared" ref="AC8:AF8" si="13">AB8</f>
        <v>2.3369660489182711</v>
      </c>
      <c r="AD8" s="302">
        <f t="shared" si="13"/>
        <v>2.3369660489182711</v>
      </c>
      <c r="AE8" s="302">
        <f t="shared" si="13"/>
        <v>2.3369660489182711</v>
      </c>
      <c r="AF8" s="302">
        <f t="shared" si="13"/>
        <v>2.3369660489182711</v>
      </c>
      <c r="AG8" s="302">
        <f t="shared" ref="AG8" si="14">AF8</f>
        <v>2.3369660489182711</v>
      </c>
      <c r="AH8" s="302"/>
      <c r="AI8" s="302"/>
    </row>
    <row r="9" spans="1:38">
      <c r="A9" t="s">
        <v>62</v>
      </c>
      <c r="B9" t="str">
        <f>VLOOKUP(A9,'Price Table 8 APCO'!A:F,2,FALSE)</f>
        <v>(Project &amp; Mission) Engineering</v>
      </c>
      <c r="C9" t="str">
        <f>VLOOKUP(A9,'Price Table 8 APCO'!A:F,6,FALSE)</f>
        <v>Manpower</v>
      </c>
      <c r="D9">
        <v>310000</v>
      </c>
      <c r="E9" t="s">
        <v>833</v>
      </c>
      <c r="F9" t="s">
        <v>744</v>
      </c>
      <c r="G9" s="115">
        <f t="shared" si="0"/>
        <v>9907.8253961938444</v>
      </c>
      <c r="H9" s="115">
        <f t="shared" si="0"/>
        <v>46752.549263498193</v>
      </c>
      <c r="I9" s="115">
        <f t="shared" si="0"/>
        <v>43274.791854384734</v>
      </c>
      <c r="J9" s="115">
        <f t="shared" si="0"/>
        <v>19347.153485923231</v>
      </c>
      <c r="K9" s="104">
        <v>119282.32</v>
      </c>
      <c r="O9" s="302">
        <f t="shared" si="5"/>
        <v>2.9072257617939687</v>
      </c>
      <c r="P9" s="302">
        <f t="shared" ref="P9:Q9" si="15">O9</f>
        <v>2.9072257617939687</v>
      </c>
      <c r="Q9" s="302">
        <f t="shared" si="15"/>
        <v>2.9072257617939687</v>
      </c>
      <c r="R9" s="302">
        <f t="shared" si="7"/>
        <v>6.8592355140108863</v>
      </c>
      <c r="S9" s="302">
        <f t="shared" ref="S9:T9" si="16">R9</f>
        <v>6.8592355140108863</v>
      </c>
      <c r="T9" s="302">
        <f t="shared" si="16"/>
        <v>6.8592355140108863</v>
      </c>
      <c r="U9" s="302">
        <f t="shared" ref="U9:W9" si="17">T9</f>
        <v>6.8592355140108863</v>
      </c>
      <c r="V9" s="302">
        <f t="shared" si="17"/>
        <v>6.8592355140108863</v>
      </c>
      <c r="W9" s="302">
        <f t="shared" si="17"/>
        <v>6.8592355140108863</v>
      </c>
      <c r="X9" s="302">
        <f t="shared" si="10"/>
        <v>9.5235017285177666</v>
      </c>
      <c r="Y9" s="302">
        <f t="shared" ref="Y9:AA9" si="18">X9</f>
        <v>9.5235017285177666</v>
      </c>
      <c r="Z9" s="302">
        <f t="shared" si="18"/>
        <v>9.5235017285177666</v>
      </c>
      <c r="AA9" s="302">
        <f t="shared" si="18"/>
        <v>9.5235017285177666</v>
      </c>
      <c r="AB9" s="302">
        <f t="shared" si="12"/>
        <v>2.8384908283338075</v>
      </c>
      <c r="AC9" s="302">
        <f t="shared" ref="AC9:AF9" si="19">AB9</f>
        <v>2.8384908283338075</v>
      </c>
      <c r="AD9" s="302">
        <f t="shared" si="19"/>
        <v>2.8384908283338075</v>
      </c>
      <c r="AE9" s="302">
        <f t="shared" si="19"/>
        <v>2.8384908283338075</v>
      </c>
      <c r="AF9" s="302">
        <f t="shared" si="19"/>
        <v>2.8384908283338075</v>
      </c>
      <c r="AG9" s="302">
        <f t="shared" ref="AG9" si="20">AF9</f>
        <v>2.8384908283338075</v>
      </c>
      <c r="AH9" s="302"/>
      <c r="AI9" s="302"/>
    </row>
    <row r="10" spans="1:38" s="73" customFormat="1">
      <c r="A10" s="73" t="s">
        <v>321</v>
      </c>
      <c r="B10" s="73" t="str">
        <f>VLOOKUP(A10,'Price Table 8 APCO'!A:F,2,FALSE)</f>
        <v>Structure - Engineering</v>
      </c>
      <c r="C10" s="73" t="str">
        <f>VLOOKUP(A10,'Price Table 8 APCO'!A:F,6,FALSE)</f>
        <v>Manpower</v>
      </c>
      <c r="D10" s="73">
        <v>490000</v>
      </c>
      <c r="E10" s="73" t="s">
        <v>834</v>
      </c>
      <c r="F10" s="73" t="s">
        <v>744</v>
      </c>
      <c r="G10" s="407">
        <f t="shared" si="0"/>
        <v>160842.02251774713</v>
      </c>
      <c r="H10" s="407">
        <f t="shared" si="0"/>
        <v>758973.26413225126</v>
      </c>
      <c r="I10" s="407">
        <f t="shared" si="0"/>
        <v>702515.91722313291</v>
      </c>
      <c r="J10" s="407">
        <f t="shared" si="0"/>
        <v>314078.53612686851</v>
      </c>
      <c r="K10" s="554">
        <v>1936409.74</v>
      </c>
      <c r="O10" s="555">
        <f t="shared" si="5"/>
        <v>47.195429142531431</v>
      </c>
      <c r="P10" s="555">
        <f t="shared" ref="P10:Q10" si="21">O10</f>
        <v>47.195429142531431</v>
      </c>
      <c r="Q10" s="555">
        <f t="shared" si="21"/>
        <v>47.195429142531431</v>
      </c>
      <c r="R10" s="555">
        <f t="shared" si="7"/>
        <v>111.3517112870087</v>
      </c>
      <c r="S10" s="555">
        <f t="shared" ref="S10:T10" si="22">R10</f>
        <v>111.3517112870087</v>
      </c>
      <c r="T10" s="555">
        <f t="shared" si="22"/>
        <v>111.3517112870087</v>
      </c>
      <c r="U10" s="555">
        <f t="shared" ref="U10:W10" si="23">T10</f>
        <v>111.3517112870087</v>
      </c>
      <c r="V10" s="555">
        <f t="shared" si="23"/>
        <v>111.3517112870087</v>
      </c>
      <c r="W10" s="555">
        <f t="shared" si="23"/>
        <v>111.3517112870087</v>
      </c>
      <c r="X10" s="555">
        <f t="shared" si="10"/>
        <v>154.60297474100639</v>
      </c>
      <c r="Y10" s="555">
        <f t="shared" ref="Y10:AA10" si="24">X10</f>
        <v>154.60297474100639</v>
      </c>
      <c r="Z10" s="555">
        <f t="shared" si="24"/>
        <v>154.60297474100639</v>
      </c>
      <c r="AA10" s="555">
        <f t="shared" si="24"/>
        <v>154.60297474100639</v>
      </c>
      <c r="AB10" s="555">
        <f t="shared" si="12"/>
        <v>46.079597436453724</v>
      </c>
      <c r="AC10" s="555">
        <f t="shared" ref="AC10:AF10" si="25">AB10</f>
        <v>46.079597436453724</v>
      </c>
      <c r="AD10" s="555">
        <f t="shared" si="25"/>
        <v>46.079597436453724</v>
      </c>
      <c r="AE10" s="555">
        <f t="shared" si="25"/>
        <v>46.079597436453724</v>
      </c>
      <c r="AF10" s="555">
        <f t="shared" si="25"/>
        <v>46.079597436453724</v>
      </c>
      <c r="AG10" s="555">
        <f t="shared" ref="AG10" si="26">AF10</f>
        <v>46.079597436453724</v>
      </c>
      <c r="AH10" s="555"/>
      <c r="AI10" s="555"/>
    </row>
    <row r="11" spans="1:38">
      <c r="A11" t="s">
        <v>351</v>
      </c>
      <c r="B11" t="str">
        <f>VLOOKUP(A11,'Price Table 8 APCO'!A:F,2,FALSE)</f>
        <v>(System level) Assembly, Integration and Testing,Verification</v>
      </c>
      <c r="C11" t="str">
        <f>VLOOKUP(A11,'Price Table 8 APCO'!A:F,6,FALSE)</f>
        <v>Manpower</v>
      </c>
      <c r="D11">
        <v>510000</v>
      </c>
      <c r="E11" t="s">
        <v>835</v>
      </c>
      <c r="F11" t="s">
        <v>744</v>
      </c>
      <c r="G11" s="115">
        <f t="shared" si="0"/>
        <v>45082.557010784571</v>
      </c>
      <c r="H11" s="115">
        <f t="shared" si="0"/>
        <v>212733.30759147889</v>
      </c>
      <c r="I11" s="115">
        <f t="shared" si="0"/>
        <v>196908.82639641603</v>
      </c>
      <c r="J11" s="115">
        <f t="shared" si="0"/>
        <v>88033.359001320525</v>
      </c>
      <c r="K11" s="104">
        <v>542758.05000000005</v>
      </c>
      <c r="O11" s="302">
        <f t="shared" si="5"/>
        <v>13.228449827108149</v>
      </c>
      <c r="P11" s="302">
        <f t="shared" ref="P11:Q11" si="27">O11</f>
        <v>13.228449827108149</v>
      </c>
      <c r="Q11" s="302">
        <f t="shared" si="27"/>
        <v>13.228449827108149</v>
      </c>
      <c r="R11" s="302">
        <f t="shared" si="7"/>
        <v>31.210872592646556</v>
      </c>
      <c r="S11" s="302">
        <f t="shared" ref="S11:T11" si="28">R11</f>
        <v>31.210872592646556</v>
      </c>
      <c r="T11" s="302">
        <f t="shared" si="28"/>
        <v>31.210872592646556</v>
      </c>
      <c r="U11" s="302">
        <f t="shared" ref="U11:W11" si="29">T11</f>
        <v>31.210872592646556</v>
      </c>
      <c r="V11" s="302">
        <f t="shared" si="29"/>
        <v>31.210872592646556</v>
      </c>
      <c r="W11" s="302">
        <f t="shared" si="29"/>
        <v>31.210872592646556</v>
      </c>
      <c r="X11" s="302">
        <f t="shared" si="10"/>
        <v>43.333808625971841</v>
      </c>
      <c r="Y11" s="302">
        <f t="shared" ref="Y11:AA11" si="30">X11</f>
        <v>43.333808625971841</v>
      </c>
      <c r="Z11" s="302">
        <f t="shared" si="30"/>
        <v>43.333808625971841</v>
      </c>
      <c r="AA11" s="302">
        <f t="shared" si="30"/>
        <v>43.333808625971841</v>
      </c>
      <c r="AB11" s="302">
        <f t="shared" si="12"/>
        <v>12.915692341743037</v>
      </c>
      <c r="AC11" s="302">
        <f t="shared" ref="AC11:AF11" si="31">AB11</f>
        <v>12.915692341743037</v>
      </c>
      <c r="AD11" s="302">
        <f t="shared" si="31"/>
        <v>12.915692341743037</v>
      </c>
      <c r="AE11" s="302">
        <f t="shared" si="31"/>
        <v>12.915692341743037</v>
      </c>
      <c r="AF11" s="302">
        <f t="shared" si="31"/>
        <v>12.915692341743037</v>
      </c>
      <c r="AG11" s="302">
        <f t="shared" ref="AG11" si="32">AF11</f>
        <v>12.915692341743037</v>
      </c>
      <c r="AH11" s="302"/>
      <c r="AI11" s="302"/>
    </row>
    <row r="12" spans="1:38">
      <c r="A12" t="s">
        <v>351</v>
      </c>
      <c r="B12" t="str">
        <f>VLOOKUP(A12,'Price Table 8 APCO'!A:F,2,FALSE)</f>
        <v>(System level) Assembly, Integration and Testing,Verification</v>
      </c>
      <c r="C12" t="str">
        <f>VLOOKUP(A12,'Price Table 8 APCO'!A:F,6,FALSE)</f>
        <v>Manpower</v>
      </c>
      <c r="D12" s="63">
        <v>550300</v>
      </c>
      <c r="E12" t="s">
        <v>836</v>
      </c>
      <c r="F12" t="s">
        <v>744</v>
      </c>
      <c r="G12" s="115">
        <f t="shared" si="0"/>
        <v>7870.8682775571806</v>
      </c>
      <c r="H12" s="115">
        <f t="shared" si="0"/>
        <v>37140.658235091665</v>
      </c>
      <c r="I12" s="115">
        <f t="shared" si="0"/>
        <v>34377.895532496397</v>
      </c>
      <c r="J12" s="115">
        <f t="shared" si="0"/>
        <v>15369.557954854747</v>
      </c>
      <c r="K12" s="104">
        <v>94758.98</v>
      </c>
      <c r="O12" s="302">
        <f t="shared" si="5"/>
        <v>2.3095270767479992</v>
      </c>
      <c r="P12" s="302">
        <f t="shared" ref="P12:Q12" si="33">O12</f>
        <v>2.3095270767479992</v>
      </c>
      <c r="Q12" s="302">
        <f t="shared" si="33"/>
        <v>2.3095270767479992</v>
      </c>
      <c r="R12" s="302">
        <f t="shared" si="7"/>
        <v>5.4490402340216653</v>
      </c>
      <c r="S12" s="302">
        <f t="shared" ref="S12:T12" si="34">R12</f>
        <v>5.4490402340216653</v>
      </c>
      <c r="T12" s="302">
        <f t="shared" si="34"/>
        <v>5.4490402340216653</v>
      </c>
      <c r="U12" s="302">
        <f t="shared" ref="U12:W12" si="35">T12</f>
        <v>5.4490402340216653</v>
      </c>
      <c r="V12" s="302">
        <f t="shared" si="35"/>
        <v>5.4490402340216653</v>
      </c>
      <c r="W12" s="302">
        <f t="shared" si="35"/>
        <v>5.4490402340216653</v>
      </c>
      <c r="X12" s="302">
        <f t="shared" si="10"/>
        <v>7.5655579957078345</v>
      </c>
      <c r="Y12" s="302">
        <f t="shared" ref="Y12:AA12" si="36">X12</f>
        <v>7.5655579957078345</v>
      </c>
      <c r="Z12" s="302">
        <f t="shared" si="36"/>
        <v>7.5655579957078345</v>
      </c>
      <c r="AA12" s="302">
        <f t="shared" si="36"/>
        <v>7.5655579957078345</v>
      </c>
      <c r="AB12" s="302">
        <f t="shared" si="12"/>
        <v>2.2549234088695345</v>
      </c>
      <c r="AC12" s="302">
        <f t="shared" ref="AC12:AF12" si="37">AB12</f>
        <v>2.2549234088695345</v>
      </c>
      <c r="AD12" s="302">
        <f t="shared" si="37"/>
        <v>2.2549234088695345</v>
      </c>
      <c r="AE12" s="302">
        <f t="shared" si="37"/>
        <v>2.2549234088695345</v>
      </c>
      <c r="AF12" s="302">
        <f t="shared" si="37"/>
        <v>2.2549234088695345</v>
      </c>
      <c r="AG12" s="302">
        <f t="shared" ref="AG12" si="38">AF12</f>
        <v>2.2549234088695345</v>
      </c>
      <c r="AH12" s="302"/>
      <c r="AI12" s="302"/>
    </row>
    <row r="13" spans="1:38">
      <c r="A13" t="s">
        <v>32</v>
      </c>
      <c r="B13" t="str">
        <f>VLOOKUP(A13,'Price Table 8 APCO'!A:F,2,FALSE)</f>
        <v>Management</v>
      </c>
      <c r="C13" t="str">
        <f>VLOOKUP(A13,'Price Table 8 APCO'!A:F,6,FALSE)</f>
        <v>Manpower</v>
      </c>
      <c r="D13">
        <v>110000</v>
      </c>
      <c r="E13" t="s">
        <v>831</v>
      </c>
      <c r="F13" t="s">
        <v>837</v>
      </c>
      <c r="G13" s="104">
        <v>10000</v>
      </c>
      <c r="H13" s="104">
        <v>10000</v>
      </c>
      <c r="I13" s="104">
        <v>10000</v>
      </c>
      <c r="J13" s="104">
        <v>10000</v>
      </c>
      <c r="K13" s="115">
        <f>R61</f>
        <v>40000</v>
      </c>
      <c r="O13" s="302">
        <f t="shared" si="5"/>
        <v>2.934272300469484</v>
      </c>
      <c r="P13" s="302">
        <f t="shared" ref="P13:Q13" si="39">O13</f>
        <v>2.934272300469484</v>
      </c>
      <c r="Q13" s="302">
        <f t="shared" si="39"/>
        <v>2.934272300469484</v>
      </c>
      <c r="R13" s="302">
        <f t="shared" si="7"/>
        <v>1.467136150234742</v>
      </c>
      <c r="S13" s="302">
        <f t="shared" ref="S13:T13" si="40">R13</f>
        <v>1.467136150234742</v>
      </c>
      <c r="T13" s="302">
        <f t="shared" si="40"/>
        <v>1.467136150234742</v>
      </c>
      <c r="U13" s="302">
        <f t="shared" ref="U13:W13" si="41">T13</f>
        <v>1.467136150234742</v>
      </c>
      <c r="V13" s="302">
        <f t="shared" si="41"/>
        <v>1.467136150234742</v>
      </c>
      <c r="W13" s="302">
        <f t="shared" si="41"/>
        <v>1.467136150234742</v>
      </c>
      <c r="X13" s="302">
        <f t="shared" si="10"/>
        <v>2.200704225352113</v>
      </c>
      <c r="Y13" s="302">
        <f t="shared" ref="Y13:AA13" si="42">X13</f>
        <v>2.200704225352113</v>
      </c>
      <c r="Z13" s="302">
        <f t="shared" si="42"/>
        <v>2.200704225352113</v>
      </c>
      <c r="AA13" s="302">
        <f t="shared" si="42"/>
        <v>2.200704225352113</v>
      </c>
      <c r="AB13" s="302">
        <f t="shared" si="12"/>
        <v>1.467136150234742</v>
      </c>
      <c r="AC13" s="302">
        <f t="shared" ref="AC13:AF13" si="43">AB13</f>
        <v>1.467136150234742</v>
      </c>
      <c r="AD13" s="302">
        <f t="shared" si="43"/>
        <v>1.467136150234742</v>
      </c>
      <c r="AE13" s="302">
        <f t="shared" si="43"/>
        <v>1.467136150234742</v>
      </c>
      <c r="AF13" s="302">
        <f t="shared" si="43"/>
        <v>1.467136150234742</v>
      </c>
      <c r="AG13" s="302">
        <f t="shared" ref="AG13" si="44">AF13</f>
        <v>1.467136150234742</v>
      </c>
      <c r="AH13" s="302"/>
      <c r="AI13" s="302"/>
    </row>
    <row r="14" spans="1:38" s="73" customFormat="1">
      <c r="A14" s="73" t="s">
        <v>602</v>
      </c>
      <c r="B14" s="73" t="str">
        <f>VLOOKUP(A14,'Price Table 8 APCO'!A:F,2,FALSE)</f>
        <v>Structure - HW</v>
      </c>
      <c r="C14" s="73" t="str">
        <f>VLOOKUP(A14,'Price Table 8 APCO'!A:F,6,FALSE)</f>
        <v>Procurement</v>
      </c>
      <c r="D14" s="73">
        <v>490000</v>
      </c>
      <c r="E14" s="73" t="s">
        <v>834</v>
      </c>
      <c r="F14" s="73" t="s">
        <v>117</v>
      </c>
      <c r="G14" s="407"/>
      <c r="H14" s="407"/>
      <c r="I14" s="407">
        <f>I61-I59</f>
        <v>467500</v>
      </c>
      <c r="J14" s="407">
        <f>J61-J59</f>
        <v>632100</v>
      </c>
      <c r="K14" s="554">
        <f>U61</f>
        <v>1099600</v>
      </c>
      <c r="O14" s="555">
        <f t="shared" si="5"/>
        <v>0</v>
      </c>
      <c r="P14" s="555">
        <f t="shared" ref="P14:Q14" si="45">O14</f>
        <v>0</v>
      </c>
      <c r="Q14" s="555">
        <f t="shared" si="45"/>
        <v>0</v>
      </c>
      <c r="R14" s="555">
        <f t="shared" si="7"/>
        <v>0</v>
      </c>
      <c r="S14" s="555">
        <f t="shared" ref="S14:T14" si="46">R14</f>
        <v>0</v>
      </c>
      <c r="T14" s="555">
        <f t="shared" si="46"/>
        <v>0</v>
      </c>
      <c r="U14" s="555">
        <f t="shared" ref="U14:W14" si="47">T14</f>
        <v>0</v>
      </c>
      <c r="V14" s="555">
        <f t="shared" si="47"/>
        <v>0</v>
      </c>
      <c r="W14" s="555">
        <f t="shared" si="47"/>
        <v>0</v>
      </c>
      <c r="X14" s="555">
        <f>I14/$G$2/1000</f>
        <v>411.53169014084506</v>
      </c>
      <c r="Y14" s="555"/>
      <c r="Z14" s="555"/>
      <c r="AA14" s="555"/>
      <c r="AB14" s="555">
        <f>J14/$G$2/1000</f>
        <v>556.42605633802816</v>
      </c>
      <c r="AC14" s="555"/>
      <c r="AD14" s="555"/>
      <c r="AE14" s="555"/>
      <c r="AF14" s="555"/>
      <c r="AG14" s="555"/>
      <c r="AH14" s="555"/>
      <c r="AI14" s="555"/>
    </row>
    <row r="15" spans="1:38">
      <c r="A15" t="s">
        <v>32</v>
      </c>
      <c r="B15" t="str">
        <f>VLOOKUP(A15,'Price Table 8 APCO'!A:F,2,FALSE)</f>
        <v>Management</v>
      </c>
      <c r="C15" t="str">
        <f>VLOOKUP(A15,'Price Table 8 APCO'!A:F,6,FALSE)</f>
        <v>Manpower</v>
      </c>
      <c r="D15">
        <v>110000</v>
      </c>
      <c r="E15" t="s">
        <v>831</v>
      </c>
      <c r="F15" t="s">
        <v>838</v>
      </c>
      <c r="G15" s="115">
        <f t="shared" ref="G15:J20" si="48">G$63/$L$63*$K15</f>
        <v>1891.1925758606612</v>
      </c>
      <c r="H15" s="115">
        <f t="shared" si="48"/>
        <v>8663.2024255898123</v>
      </c>
      <c r="I15" s="115">
        <f t="shared" si="48"/>
        <v>11303.404272391112</v>
      </c>
      <c r="J15" s="115">
        <f t="shared" si="48"/>
        <v>8060.170726158417</v>
      </c>
      <c r="K15" s="104">
        <v>29917.97</v>
      </c>
      <c r="O15" s="302">
        <f t="shared" si="5"/>
        <v>0.55492739902014709</v>
      </c>
      <c r="P15" s="302">
        <f t="shared" ref="P15:Q15" si="49">O15</f>
        <v>0.55492739902014709</v>
      </c>
      <c r="Q15" s="302">
        <f t="shared" si="49"/>
        <v>0.55492739902014709</v>
      </c>
      <c r="R15" s="302">
        <f t="shared" si="7"/>
        <v>1.2710097455384115</v>
      </c>
      <c r="S15" s="302">
        <f t="shared" ref="S15:T15" si="50">R15</f>
        <v>1.2710097455384115</v>
      </c>
      <c r="T15" s="302">
        <f t="shared" si="50"/>
        <v>1.2710097455384115</v>
      </c>
      <c r="U15" s="302">
        <f t="shared" ref="U15:W15" si="51">T15</f>
        <v>1.2710097455384115</v>
      </c>
      <c r="V15" s="302">
        <f t="shared" si="51"/>
        <v>1.2710097455384115</v>
      </c>
      <c r="W15" s="302">
        <f t="shared" si="51"/>
        <v>1.2710097455384115</v>
      </c>
      <c r="X15" s="302">
        <f t="shared" si="10"/>
        <v>2.4875449543114247</v>
      </c>
      <c r="Y15" s="302">
        <f t="shared" ref="Y15:AA15" si="52">X15</f>
        <v>2.4875449543114247</v>
      </c>
      <c r="Z15" s="302">
        <f t="shared" si="52"/>
        <v>2.4875449543114247</v>
      </c>
      <c r="AA15" s="302">
        <f t="shared" si="52"/>
        <v>2.4875449543114247</v>
      </c>
      <c r="AB15" s="302">
        <f t="shared" si="12"/>
        <v>1.1825367849410824</v>
      </c>
      <c r="AC15" s="302">
        <f t="shared" ref="AC15:AF15" si="53">AB15</f>
        <v>1.1825367849410824</v>
      </c>
      <c r="AD15" s="302">
        <f t="shared" si="53"/>
        <v>1.1825367849410824</v>
      </c>
      <c r="AE15" s="302">
        <f t="shared" si="53"/>
        <v>1.1825367849410824</v>
      </c>
      <c r="AF15" s="302">
        <f t="shared" si="53"/>
        <v>1.1825367849410824</v>
      </c>
      <c r="AG15" s="302">
        <f t="shared" ref="AG15" si="54">AF15</f>
        <v>1.1825367849410824</v>
      </c>
      <c r="AH15" s="302"/>
      <c r="AI15" s="302"/>
    </row>
    <row r="16" spans="1:38">
      <c r="A16" t="s">
        <v>76</v>
      </c>
      <c r="B16" t="str">
        <f>VLOOKUP(A16,'Price Table 8 APCO'!A:F,2,FALSE)</f>
        <v>Product Assurance</v>
      </c>
      <c r="C16" t="str">
        <f>VLOOKUP(A16,'Price Table 8 APCO'!A:F,6,FALSE)</f>
        <v>Manpower</v>
      </c>
      <c r="D16">
        <v>130000</v>
      </c>
      <c r="E16" t="s">
        <v>832</v>
      </c>
      <c r="F16" t="s">
        <v>838</v>
      </c>
      <c r="G16" s="115">
        <f t="shared" si="48"/>
        <v>496.63166344596777</v>
      </c>
      <c r="H16" s="115">
        <f t="shared" si="48"/>
        <v>2274.9775386738847</v>
      </c>
      <c r="I16" s="115">
        <f t="shared" si="48"/>
        <v>2968.3008161372227</v>
      </c>
      <c r="J16" s="115">
        <f t="shared" si="48"/>
        <v>2116.6199817429251</v>
      </c>
      <c r="K16" s="104">
        <v>7856.53</v>
      </c>
      <c r="O16" s="302">
        <f t="shared" si="5"/>
        <v>0.14572525335855863</v>
      </c>
      <c r="P16" s="302">
        <f t="shared" ref="P16:Q16" si="55">O16</f>
        <v>0.14572525335855863</v>
      </c>
      <c r="Q16" s="302">
        <f t="shared" si="55"/>
        <v>0.14572525335855863</v>
      </c>
      <c r="R16" s="302">
        <f t="shared" si="7"/>
        <v>0.3337701787960512</v>
      </c>
      <c r="S16" s="302">
        <f t="shared" ref="S16:T16" si="56">R16</f>
        <v>0.3337701787960512</v>
      </c>
      <c r="T16" s="302">
        <f t="shared" si="56"/>
        <v>0.3337701787960512</v>
      </c>
      <c r="U16" s="302">
        <f t="shared" ref="U16:W16" si="57">T16</f>
        <v>0.3337701787960512</v>
      </c>
      <c r="V16" s="302">
        <f t="shared" si="57"/>
        <v>0.3337701787960512</v>
      </c>
      <c r="W16" s="302">
        <f t="shared" si="57"/>
        <v>0.3337701787960512</v>
      </c>
      <c r="X16" s="302">
        <f t="shared" si="10"/>
        <v>0.6532352148189311</v>
      </c>
      <c r="Y16" s="302">
        <f t="shared" ref="Y16:AA16" si="58">X16</f>
        <v>0.6532352148189311</v>
      </c>
      <c r="Z16" s="302">
        <f t="shared" si="58"/>
        <v>0.6532352148189311</v>
      </c>
      <c r="AA16" s="302">
        <f t="shared" si="58"/>
        <v>0.6532352148189311</v>
      </c>
      <c r="AB16" s="302">
        <f t="shared" si="12"/>
        <v>0.31053696915242451</v>
      </c>
      <c r="AC16" s="302">
        <f t="shared" ref="AC16:AF16" si="59">AB16</f>
        <v>0.31053696915242451</v>
      </c>
      <c r="AD16" s="302">
        <f t="shared" si="59"/>
        <v>0.31053696915242451</v>
      </c>
      <c r="AE16" s="302">
        <f t="shared" si="59"/>
        <v>0.31053696915242451</v>
      </c>
      <c r="AF16" s="302">
        <f t="shared" si="59"/>
        <v>0.31053696915242451</v>
      </c>
      <c r="AG16" s="302">
        <f t="shared" ref="AG16" si="60">AF16</f>
        <v>0.31053696915242451</v>
      </c>
      <c r="AH16" s="302"/>
      <c r="AI16" s="302"/>
    </row>
    <row r="17" spans="1:35">
      <c r="A17" t="s">
        <v>62</v>
      </c>
      <c r="B17" t="str">
        <f>VLOOKUP(A17,'Price Table 8 APCO'!A:F,2,FALSE)</f>
        <v>(Project &amp; Mission) Engineering</v>
      </c>
      <c r="C17" t="str">
        <f>VLOOKUP(A17,'Price Table 8 APCO'!A:F,6,FALSE)</f>
        <v>Manpower</v>
      </c>
      <c r="D17">
        <v>310000</v>
      </c>
      <c r="E17" t="s">
        <v>833</v>
      </c>
      <c r="F17" t="s">
        <v>838</v>
      </c>
      <c r="G17" s="115">
        <f t="shared" si="48"/>
        <v>603.21189447285985</v>
      </c>
      <c r="H17" s="115">
        <f t="shared" si="48"/>
        <v>2763.2018092941826</v>
      </c>
      <c r="I17" s="115">
        <f t="shared" si="48"/>
        <v>3605.3165564266792</v>
      </c>
      <c r="J17" s="115">
        <f t="shared" si="48"/>
        <v>2570.8597398062784</v>
      </c>
      <c r="K17" s="104">
        <v>9542.59</v>
      </c>
      <c r="O17" s="302">
        <f t="shared" si="5"/>
        <v>0.17699879532654339</v>
      </c>
      <c r="P17" s="302">
        <f t="shared" ref="P17:Q17" si="61">O17</f>
        <v>0.17699879532654339</v>
      </c>
      <c r="Q17" s="302">
        <f t="shared" si="61"/>
        <v>0.17699879532654339</v>
      </c>
      <c r="R17" s="302">
        <f t="shared" si="7"/>
        <v>0.40539932648095406</v>
      </c>
      <c r="S17" s="302">
        <f t="shared" ref="S17:T17" si="62">R17</f>
        <v>0.40539932648095406</v>
      </c>
      <c r="T17" s="302">
        <f t="shared" si="62"/>
        <v>0.40539932648095406</v>
      </c>
      <c r="U17" s="302">
        <f t="shared" ref="U17:W17" si="63">T17</f>
        <v>0.40539932648095406</v>
      </c>
      <c r="V17" s="302">
        <f t="shared" si="63"/>
        <v>0.40539932648095406</v>
      </c>
      <c r="W17" s="302">
        <f t="shared" si="63"/>
        <v>0.40539932648095406</v>
      </c>
      <c r="X17" s="302">
        <f t="shared" si="10"/>
        <v>0.79342353794601217</v>
      </c>
      <c r="Y17" s="302">
        <f t="shared" ref="Y17:AA17" si="64">X17</f>
        <v>0.79342353794601217</v>
      </c>
      <c r="Z17" s="302">
        <f t="shared" si="64"/>
        <v>0.79342353794601217</v>
      </c>
      <c r="AA17" s="302">
        <f t="shared" si="64"/>
        <v>0.79342353794601217</v>
      </c>
      <c r="AB17" s="302">
        <f t="shared" si="12"/>
        <v>0.37718012614528734</v>
      </c>
      <c r="AC17" s="302">
        <f t="shared" ref="AC17:AF17" si="65">AB17</f>
        <v>0.37718012614528734</v>
      </c>
      <c r="AD17" s="302">
        <f t="shared" si="65"/>
        <v>0.37718012614528734</v>
      </c>
      <c r="AE17" s="302">
        <f t="shared" si="65"/>
        <v>0.37718012614528734</v>
      </c>
      <c r="AF17" s="302">
        <f t="shared" si="65"/>
        <v>0.37718012614528734</v>
      </c>
      <c r="AG17" s="302">
        <f t="shared" ref="AG17" si="66">AF17</f>
        <v>0.37718012614528734</v>
      </c>
      <c r="AH17" s="302"/>
      <c r="AI17" s="302"/>
    </row>
    <row r="18" spans="1:35" s="73" customFormat="1">
      <c r="A18" s="73" t="s">
        <v>321</v>
      </c>
      <c r="B18" s="73" t="str">
        <f>VLOOKUP(A18,'Price Table 8 APCO'!A:F,2,FALSE)</f>
        <v>Structure - Engineering</v>
      </c>
      <c r="C18" s="73" t="str">
        <f>VLOOKUP(A18,'Price Table 8 APCO'!A:F,6,FALSE)</f>
        <v>Manpower</v>
      </c>
      <c r="D18" s="73">
        <v>490000</v>
      </c>
      <c r="E18" s="73" t="s">
        <v>834</v>
      </c>
      <c r="F18" s="73" t="s">
        <v>838</v>
      </c>
      <c r="G18" s="407">
        <f t="shared" si="48"/>
        <v>15353.124826157877</v>
      </c>
      <c r="H18" s="407">
        <f t="shared" si="48"/>
        <v>70329.817244456935</v>
      </c>
      <c r="I18" s="407">
        <f t="shared" si="48"/>
        <v>91763.567057981738</v>
      </c>
      <c r="J18" s="407">
        <f t="shared" si="48"/>
        <v>65434.27087140346</v>
      </c>
      <c r="K18" s="554">
        <v>242880.78</v>
      </c>
      <c r="O18" s="555">
        <f t="shared" si="5"/>
        <v>4.5050248903045418</v>
      </c>
      <c r="P18" s="555">
        <f t="shared" ref="P18:Q18" si="67">O18</f>
        <v>4.5050248903045418</v>
      </c>
      <c r="Q18" s="555">
        <f t="shared" si="67"/>
        <v>4.5050248903045418</v>
      </c>
      <c r="R18" s="555">
        <f t="shared" si="7"/>
        <v>10.318341731874552</v>
      </c>
      <c r="S18" s="555">
        <f t="shared" ref="S18:T18" si="68">R18</f>
        <v>10.318341731874552</v>
      </c>
      <c r="T18" s="555">
        <f t="shared" si="68"/>
        <v>10.318341731874552</v>
      </c>
      <c r="U18" s="555">
        <f t="shared" ref="U18:W18" si="69">T18</f>
        <v>10.318341731874552</v>
      </c>
      <c r="V18" s="555">
        <f t="shared" si="69"/>
        <v>10.318341731874552</v>
      </c>
      <c r="W18" s="555">
        <f t="shared" si="69"/>
        <v>10.318341731874552</v>
      </c>
      <c r="X18" s="555">
        <f t="shared" si="10"/>
        <v>20.194446975788235</v>
      </c>
      <c r="Y18" s="555">
        <f t="shared" ref="Y18:AA18" si="70">X18</f>
        <v>20.194446975788235</v>
      </c>
      <c r="Z18" s="555">
        <f t="shared" si="70"/>
        <v>20.194446975788235</v>
      </c>
      <c r="AA18" s="555">
        <f t="shared" si="70"/>
        <v>20.194446975788235</v>
      </c>
      <c r="AB18" s="555">
        <f t="shared" si="12"/>
        <v>9.6000984259688185</v>
      </c>
      <c r="AC18" s="555">
        <f t="shared" ref="AC18:AF18" si="71">AB18</f>
        <v>9.6000984259688185</v>
      </c>
      <c r="AD18" s="555">
        <f t="shared" si="71"/>
        <v>9.6000984259688185</v>
      </c>
      <c r="AE18" s="555">
        <f t="shared" si="71"/>
        <v>9.6000984259688185</v>
      </c>
      <c r="AF18" s="555">
        <f t="shared" si="71"/>
        <v>9.6000984259688185</v>
      </c>
      <c r="AG18" s="555">
        <f t="shared" ref="AG18" si="72">AF18</f>
        <v>9.6000984259688185</v>
      </c>
      <c r="AH18" s="555"/>
      <c r="AI18" s="555"/>
    </row>
    <row r="19" spans="1:35">
      <c r="A19" t="s">
        <v>351</v>
      </c>
      <c r="B19" t="str">
        <f>VLOOKUP(A19,'Price Table 8 APCO'!A:F,2,FALSE)</f>
        <v>(System level) Assembly, Integration and Testing,Verification</v>
      </c>
      <c r="C19" t="str">
        <f>VLOOKUP(A19,'Price Table 8 APCO'!A:F,6,FALSE)</f>
        <v>Manpower</v>
      </c>
      <c r="D19">
        <v>510000</v>
      </c>
      <c r="E19" t="s">
        <v>835</v>
      </c>
      <c r="F19" t="s">
        <v>838</v>
      </c>
      <c r="G19" s="115">
        <f t="shared" si="48"/>
        <v>2744.7314108249479</v>
      </c>
      <c r="H19" s="115">
        <f t="shared" si="48"/>
        <v>12573.105520483576</v>
      </c>
      <c r="I19" s="115">
        <f t="shared" si="48"/>
        <v>16404.891364151925</v>
      </c>
      <c r="J19" s="115">
        <f t="shared" si="48"/>
        <v>11697.911704539552</v>
      </c>
      <c r="K19" s="104">
        <v>43420.639999999999</v>
      </c>
      <c r="O19" s="302">
        <f t="shared" si="5"/>
        <v>0.80537893510121716</v>
      </c>
      <c r="P19" s="302">
        <f t="shared" ref="P19:Q19" si="73">O19</f>
        <v>0.80537893510121716</v>
      </c>
      <c r="Q19" s="302">
        <f t="shared" si="73"/>
        <v>0.80537893510121716</v>
      </c>
      <c r="R19" s="302">
        <f t="shared" si="7"/>
        <v>1.8446457629817454</v>
      </c>
      <c r="S19" s="302">
        <f t="shared" ref="S19:T19" si="74">R19</f>
        <v>1.8446457629817454</v>
      </c>
      <c r="T19" s="302">
        <f t="shared" si="74"/>
        <v>1.8446457629817454</v>
      </c>
      <c r="U19" s="302">
        <f t="shared" ref="U19:W19" si="75">T19</f>
        <v>1.8446457629817454</v>
      </c>
      <c r="V19" s="302">
        <f t="shared" si="75"/>
        <v>1.8446457629817454</v>
      </c>
      <c r="W19" s="302">
        <f t="shared" si="75"/>
        <v>1.8446457629817454</v>
      </c>
      <c r="X19" s="302">
        <f t="shared" si="10"/>
        <v>3.6102313741531531</v>
      </c>
      <c r="Y19" s="302">
        <f t="shared" ref="Y19:AA19" si="76">X19</f>
        <v>3.6102313741531531</v>
      </c>
      <c r="Z19" s="302">
        <f t="shared" si="76"/>
        <v>3.6102313741531531</v>
      </c>
      <c r="AA19" s="302">
        <f t="shared" si="76"/>
        <v>3.6102313741531531</v>
      </c>
      <c r="AB19" s="302">
        <f t="shared" si="12"/>
        <v>1.7162429143984088</v>
      </c>
      <c r="AC19" s="302">
        <f t="shared" ref="AC19:AF19" si="77">AB19</f>
        <v>1.7162429143984088</v>
      </c>
      <c r="AD19" s="302">
        <f t="shared" si="77"/>
        <v>1.7162429143984088</v>
      </c>
      <c r="AE19" s="302">
        <f t="shared" si="77"/>
        <v>1.7162429143984088</v>
      </c>
      <c r="AF19" s="302">
        <f t="shared" si="77"/>
        <v>1.7162429143984088</v>
      </c>
      <c r="AG19" s="302">
        <f t="shared" ref="AG19" si="78">AF19</f>
        <v>1.7162429143984088</v>
      </c>
      <c r="AH19" s="302"/>
      <c r="AI19" s="302"/>
    </row>
    <row r="20" spans="1:35">
      <c r="A20" t="s">
        <v>351</v>
      </c>
      <c r="B20" t="str">
        <f>VLOOKUP(A20,'Price Table 8 APCO'!A:F,2,FALSE)</f>
        <v>(System level) Assembly, Integration and Testing,Verification</v>
      </c>
      <c r="C20" t="str">
        <f>VLOOKUP(A20,'Price Table 8 APCO'!A:F,6,FALSE)</f>
        <v>Manpower</v>
      </c>
      <c r="D20" s="63">
        <v>550300</v>
      </c>
      <c r="E20" t="s">
        <v>836</v>
      </c>
      <c r="F20" t="s">
        <v>838</v>
      </c>
      <c r="G20" s="115">
        <f t="shared" si="48"/>
        <v>479.19699711171688</v>
      </c>
      <c r="H20" s="115">
        <f t="shared" si="48"/>
        <v>2195.1125658497954</v>
      </c>
      <c r="I20" s="115">
        <f t="shared" si="48"/>
        <v>2864.0961547792431</v>
      </c>
      <c r="J20" s="115">
        <f t="shared" si="48"/>
        <v>2042.3142822592454</v>
      </c>
      <c r="K20" s="104">
        <v>7580.72</v>
      </c>
      <c r="O20" s="302">
        <f t="shared" si="5"/>
        <v>0.1406094475093066</v>
      </c>
      <c r="P20" s="302">
        <f t="shared" ref="P20:Q20" si="79">O20</f>
        <v>0.1406094475093066</v>
      </c>
      <c r="Q20" s="302">
        <f t="shared" si="79"/>
        <v>0.1406094475093066</v>
      </c>
      <c r="R20" s="302">
        <f t="shared" si="7"/>
        <v>0.32205289991927749</v>
      </c>
      <c r="S20" s="302">
        <f t="shared" ref="S20:T20" si="80">R20</f>
        <v>0.32205289991927749</v>
      </c>
      <c r="T20" s="302">
        <f t="shared" si="80"/>
        <v>0.32205289991927749</v>
      </c>
      <c r="U20" s="302">
        <f t="shared" ref="U20:W20" si="81">T20</f>
        <v>0.32205289991927749</v>
      </c>
      <c r="V20" s="302">
        <f t="shared" si="81"/>
        <v>0.32205289991927749</v>
      </c>
      <c r="W20" s="302">
        <f t="shared" si="81"/>
        <v>0.32205289991927749</v>
      </c>
      <c r="X20" s="302">
        <f t="shared" si="10"/>
        <v>0.63030285096374183</v>
      </c>
      <c r="Y20" s="302">
        <f t="shared" ref="Y20:AA20" si="82">X20</f>
        <v>0.63030285096374183</v>
      </c>
      <c r="Z20" s="302">
        <f t="shared" si="82"/>
        <v>0.63030285096374183</v>
      </c>
      <c r="AA20" s="302">
        <f t="shared" si="82"/>
        <v>0.63030285096374183</v>
      </c>
      <c r="AB20" s="302">
        <f t="shared" si="12"/>
        <v>0.29963531136432592</v>
      </c>
      <c r="AC20" s="302">
        <f t="shared" ref="AC20:AF20" si="83">AB20</f>
        <v>0.29963531136432592</v>
      </c>
      <c r="AD20" s="302">
        <f t="shared" si="83"/>
        <v>0.29963531136432592</v>
      </c>
      <c r="AE20" s="302">
        <f t="shared" si="83"/>
        <v>0.29963531136432592</v>
      </c>
      <c r="AF20" s="302">
        <f t="shared" si="83"/>
        <v>0.29963531136432592</v>
      </c>
      <c r="AG20" s="302">
        <f t="shared" ref="AG20" si="84">AF20</f>
        <v>0.29963531136432592</v>
      </c>
      <c r="AH20" s="302"/>
      <c r="AI20" s="302"/>
    </row>
    <row r="21" spans="1:35">
      <c r="D21" t="s">
        <v>748</v>
      </c>
      <c r="G21" s="115">
        <f t="shared" ref="G21:J21" si="85">SUM(G7:G20)</f>
        <v>291169.20019849384</v>
      </c>
      <c r="H21" s="115">
        <f t="shared" si="85"/>
        <v>1333792.1110238351</v>
      </c>
      <c r="I21" s="115">
        <f t="shared" si="85"/>
        <v>1740279.3798497978</v>
      </c>
      <c r="J21" s="115">
        <f t="shared" si="85"/>
        <v>1240948.9789278731</v>
      </c>
      <c r="K21" s="115">
        <f>SUM(K7:K20)</f>
        <v>4606189.669999999</v>
      </c>
      <c r="O21" s="302">
        <f>G21/$G$2/1000/3</f>
        <v>85.436971889229426</v>
      </c>
      <c r="P21" s="302">
        <f t="shared" ref="P21:Q21" si="86">O21</f>
        <v>85.436971889229426</v>
      </c>
      <c r="Q21" s="302">
        <f t="shared" si="86"/>
        <v>85.436971889229426</v>
      </c>
      <c r="R21" s="302">
        <f t="shared" si="7"/>
        <v>195.68546229809792</v>
      </c>
      <c r="S21" s="302">
        <f t="shared" ref="S21:T21" si="87">R21</f>
        <v>195.68546229809792</v>
      </c>
      <c r="T21" s="302">
        <f t="shared" si="87"/>
        <v>195.68546229809792</v>
      </c>
      <c r="U21" s="302">
        <f t="shared" ref="U21:W21" si="88">T21</f>
        <v>195.68546229809792</v>
      </c>
      <c r="V21" s="302">
        <f t="shared" si="88"/>
        <v>195.68546229809792</v>
      </c>
      <c r="W21" s="302">
        <f t="shared" si="88"/>
        <v>195.68546229809792</v>
      </c>
      <c r="X21" s="302">
        <f t="shared" si="10"/>
        <v>382.98401845286048</v>
      </c>
      <c r="Y21" s="302">
        <f t="shared" ref="Y21:AA21" si="89">X21</f>
        <v>382.98401845286048</v>
      </c>
      <c r="Z21" s="302">
        <f t="shared" si="89"/>
        <v>382.98401845286048</v>
      </c>
      <c r="AA21" s="302">
        <f t="shared" si="89"/>
        <v>382.98401845286048</v>
      </c>
      <c r="AB21" s="302">
        <f t="shared" si="12"/>
        <v>182.06411075819733</v>
      </c>
      <c r="AC21" s="302">
        <f t="shared" ref="AC21:AF21" si="90">AB21</f>
        <v>182.06411075819733</v>
      </c>
      <c r="AD21" s="302">
        <f t="shared" si="90"/>
        <v>182.06411075819733</v>
      </c>
      <c r="AE21" s="302">
        <f t="shared" si="90"/>
        <v>182.06411075819733</v>
      </c>
      <c r="AF21" s="302">
        <f t="shared" si="90"/>
        <v>182.06411075819733</v>
      </c>
      <c r="AG21" s="302">
        <f t="shared" ref="AG21" si="91">AF21</f>
        <v>182.06411075819733</v>
      </c>
      <c r="AH21" s="302"/>
      <c r="AI21" s="302"/>
    </row>
    <row r="24" spans="1:35">
      <c r="A24" t="s">
        <v>839</v>
      </c>
      <c r="D24" t="s">
        <v>840</v>
      </c>
      <c r="E24" t="s">
        <v>738</v>
      </c>
      <c r="F24">
        <v>1.1359999999999999</v>
      </c>
    </row>
    <row r="25" spans="1:35">
      <c r="D25" t="s">
        <v>841</v>
      </c>
      <c r="F25">
        <v>1800</v>
      </c>
    </row>
    <row r="26" spans="1:35">
      <c r="F26" t="s">
        <v>748</v>
      </c>
      <c r="G26" t="s">
        <v>819</v>
      </c>
      <c r="H26" t="s">
        <v>820</v>
      </c>
      <c r="I26" t="s">
        <v>821</v>
      </c>
      <c r="J26" t="s">
        <v>822</v>
      </c>
      <c r="K26" t="s">
        <v>842</v>
      </c>
      <c r="L26" t="s">
        <v>843</v>
      </c>
      <c r="M26" t="s">
        <v>844</v>
      </c>
      <c r="O26" t="s">
        <v>738</v>
      </c>
      <c r="P26">
        <v>1.1359999999999999</v>
      </c>
      <c r="Q26" t="s">
        <v>748</v>
      </c>
      <c r="R26" t="s">
        <v>831</v>
      </c>
      <c r="S26" t="s">
        <v>832</v>
      </c>
      <c r="T26" t="s">
        <v>833</v>
      </c>
      <c r="U26" t="s">
        <v>834</v>
      </c>
      <c r="V26" t="s">
        <v>835</v>
      </c>
      <c r="W26" t="s">
        <v>836</v>
      </c>
      <c r="X26" t="s">
        <v>842</v>
      </c>
      <c r="Y26" t="s">
        <v>843</v>
      </c>
      <c r="Z26" t="s">
        <v>844</v>
      </c>
    </row>
    <row r="27" spans="1:35">
      <c r="F27" t="s">
        <v>845</v>
      </c>
      <c r="G27" s="300" t="s">
        <v>826</v>
      </c>
      <c r="H27" s="300" t="s">
        <v>827</v>
      </c>
      <c r="I27" s="300" t="s">
        <v>828</v>
      </c>
      <c r="J27" s="300" t="s">
        <v>829</v>
      </c>
      <c r="Q27" t="s">
        <v>845</v>
      </c>
      <c r="R27">
        <v>110000</v>
      </c>
      <c r="S27">
        <v>130000</v>
      </c>
      <c r="T27">
        <v>310000</v>
      </c>
      <c r="U27">
        <v>490000</v>
      </c>
      <c r="V27">
        <v>510000</v>
      </c>
      <c r="W27">
        <v>540000</v>
      </c>
    </row>
    <row r="28" spans="1:35">
      <c r="D28" t="s">
        <v>846</v>
      </c>
      <c r="F28">
        <v>136.69</v>
      </c>
      <c r="G28">
        <v>200</v>
      </c>
      <c r="H28">
        <v>732</v>
      </c>
      <c r="I28">
        <v>818</v>
      </c>
      <c r="J28">
        <v>693</v>
      </c>
      <c r="K28">
        <f t="shared" ref="K28:K40" si="92">SUM(G28:J28)</f>
        <v>2443</v>
      </c>
      <c r="O28" t="s">
        <v>846</v>
      </c>
      <c r="Q28">
        <v>136.69</v>
      </c>
      <c r="R28">
        <v>1914</v>
      </c>
      <c r="V28">
        <v>530</v>
      </c>
      <c r="W28" s="93"/>
      <c r="X28">
        <f>SUM(R28:W28)</f>
        <v>2444</v>
      </c>
      <c r="AA28" s="93"/>
    </row>
    <row r="29" spans="1:35">
      <c r="D29" t="s">
        <v>847</v>
      </c>
      <c r="F29">
        <v>136.69</v>
      </c>
      <c r="G29">
        <v>1203</v>
      </c>
      <c r="H29">
        <v>3938</v>
      </c>
      <c r="I29">
        <v>2963</v>
      </c>
      <c r="J29">
        <v>2079</v>
      </c>
      <c r="K29">
        <f t="shared" si="92"/>
        <v>10183</v>
      </c>
      <c r="O29" t="s">
        <v>847</v>
      </c>
      <c r="Q29">
        <v>136.69</v>
      </c>
      <c r="R29">
        <v>529</v>
      </c>
      <c r="T29">
        <v>446</v>
      </c>
      <c r="U29">
        <v>8514</v>
      </c>
      <c r="W29" s="93">
        <v>693</v>
      </c>
      <c r="X29">
        <f t="shared" ref="X29:X40" si="93">SUM(R29:W29)</f>
        <v>10182</v>
      </c>
      <c r="AA29" s="93"/>
    </row>
    <row r="30" spans="1:35">
      <c r="D30" t="s">
        <v>848</v>
      </c>
      <c r="F30">
        <v>102.6</v>
      </c>
      <c r="G30">
        <v>101</v>
      </c>
      <c r="H30">
        <v>337</v>
      </c>
      <c r="I30">
        <v>810</v>
      </c>
      <c r="J30">
        <v>346</v>
      </c>
      <c r="K30">
        <f t="shared" si="92"/>
        <v>1594</v>
      </c>
      <c r="O30" t="s">
        <v>848</v>
      </c>
      <c r="Q30">
        <v>102.6</v>
      </c>
      <c r="S30">
        <v>957</v>
      </c>
      <c r="V30">
        <v>636</v>
      </c>
      <c r="X30">
        <f t="shared" si="93"/>
        <v>1593</v>
      </c>
    </row>
    <row r="31" spans="1:35">
      <c r="D31" t="s">
        <v>849</v>
      </c>
      <c r="F31">
        <v>114.55</v>
      </c>
      <c r="G31">
        <v>101</v>
      </c>
      <c r="H31">
        <v>1631</v>
      </c>
      <c r="I31">
        <v>856</v>
      </c>
      <c r="J31">
        <v>173</v>
      </c>
      <c r="K31">
        <f t="shared" si="92"/>
        <v>2761</v>
      </c>
      <c r="O31" t="s">
        <v>849</v>
      </c>
      <c r="Q31">
        <v>114.55</v>
      </c>
      <c r="T31">
        <v>509</v>
      </c>
      <c r="U31">
        <v>1449</v>
      </c>
      <c r="V31">
        <v>803</v>
      </c>
      <c r="X31">
        <f t="shared" si="93"/>
        <v>2761</v>
      </c>
    </row>
    <row r="32" spans="1:35">
      <c r="D32" t="s">
        <v>850</v>
      </c>
      <c r="F32">
        <v>114.55</v>
      </c>
      <c r="G32">
        <v>401</v>
      </c>
      <c r="H32">
        <v>684</v>
      </c>
      <c r="I32">
        <v>593</v>
      </c>
      <c r="J32">
        <v>174</v>
      </c>
      <c r="K32">
        <f t="shared" si="92"/>
        <v>1852</v>
      </c>
      <c r="O32" t="s">
        <v>850</v>
      </c>
      <c r="Q32">
        <v>114.55</v>
      </c>
      <c r="U32">
        <v>1851</v>
      </c>
      <c r="X32">
        <f t="shared" si="93"/>
        <v>1851</v>
      </c>
    </row>
    <row r="33" spans="3:30">
      <c r="D33" t="s">
        <v>851</v>
      </c>
      <c r="F33">
        <v>115.7</v>
      </c>
      <c r="H33">
        <v>584</v>
      </c>
      <c r="I33">
        <v>890</v>
      </c>
      <c r="K33">
        <f t="shared" si="92"/>
        <v>1474</v>
      </c>
      <c r="O33" t="s">
        <v>851</v>
      </c>
      <c r="Q33">
        <v>115.7</v>
      </c>
      <c r="V33">
        <v>1484</v>
      </c>
      <c r="X33">
        <f t="shared" si="93"/>
        <v>1484</v>
      </c>
    </row>
    <row r="34" spans="3:30">
      <c r="D34" t="s">
        <v>852</v>
      </c>
      <c r="F34">
        <v>115.7</v>
      </c>
      <c r="K34">
        <f t="shared" si="92"/>
        <v>0</v>
      </c>
      <c r="O34" t="s">
        <v>852</v>
      </c>
      <c r="Q34">
        <v>115.7</v>
      </c>
      <c r="X34">
        <f t="shared" si="93"/>
        <v>0</v>
      </c>
    </row>
    <row r="35" spans="3:30">
      <c r="D35" t="s">
        <v>853</v>
      </c>
      <c r="F35">
        <v>115.7</v>
      </c>
      <c r="H35">
        <v>747</v>
      </c>
      <c r="I35">
        <v>813</v>
      </c>
      <c r="J35">
        <v>0</v>
      </c>
      <c r="K35">
        <f t="shared" si="92"/>
        <v>1560</v>
      </c>
      <c r="O35" t="s">
        <v>853</v>
      </c>
      <c r="Q35">
        <v>115.7</v>
      </c>
      <c r="U35">
        <v>1158</v>
      </c>
      <c r="V35">
        <v>403</v>
      </c>
      <c r="X35">
        <f t="shared" si="93"/>
        <v>1561</v>
      </c>
    </row>
    <row r="36" spans="3:30">
      <c r="D36" t="s">
        <v>854</v>
      </c>
      <c r="F36">
        <v>120.6</v>
      </c>
      <c r="H36">
        <v>218</v>
      </c>
      <c r="I36">
        <v>614</v>
      </c>
      <c r="J36">
        <v>174</v>
      </c>
      <c r="K36">
        <f t="shared" si="92"/>
        <v>1006</v>
      </c>
      <c r="O36" t="s">
        <v>854</v>
      </c>
      <c r="Q36">
        <v>120.6</v>
      </c>
      <c r="U36">
        <v>582</v>
      </c>
      <c r="V36">
        <v>424</v>
      </c>
      <c r="X36">
        <f t="shared" si="93"/>
        <v>1006</v>
      </c>
    </row>
    <row r="37" spans="3:30">
      <c r="D37" t="s">
        <v>855</v>
      </c>
      <c r="F37">
        <v>102.6</v>
      </c>
      <c r="H37">
        <v>428</v>
      </c>
      <c r="I37">
        <v>424</v>
      </c>
      <c r="J37">
        <v>0</v>
      </c>
      <c r="K37">
        <f t="shared" si="92"/>
        <v>852</v>
      </c>
      <c r="O37" t="s">
        <v>855</v>
      </c>
      <c r="Q37">
        <v>102.6</v>
      </c>
      <c r="U37">
        <v>428</v>
      </c>
      <c r="V37">
        <v>424</v>
      </c>
      <c r="X37">
        <f t="shared" si="93"/>
        <v>852</v>
      </c>
    </row>
    <row r="38" spans="3:30">
      <c r="D38" t="s">
        <v>856</v>
      </c>
      <c r="F38">
        <v>102.6</v>
      </c>
      <c r="H38">
        <v>82</v>
      </c>
      <c r="I38">
        <v>71</v>
      </c>
      <c r="J38">
        <v>0</v>
      </c>
      <c r="K38">
        <f t="shared" si="92"/>
        <v>153</v>
      </c>
      <c r="O38" t="s">
        <v>856</v>
      </c>
      <c r="Q38">
        <v>102.6</v>
      </c>
      <c r="U38">
        <v>153</v>
      </c>
      <c r="X38">
        <f t="shared" si="93"/>
        <v>153</v>
      </c>
    </row>
    <row r="39" spans="3:30">
      <c r="D39" t="s">
        <v>857</v>
      </c>
      <c r="F39">
        <v>92.25</v>
      </c>
      <c r="H39">
        <v>575</v>
      </c>
      <c r="I39">
        <v>498</v>
      </c>
      <c r="J39">
        <v>346</v>
      </c>
      <c r="K39">
        <f t="shared" si="92"/>
        <v>1419</v>
      </c>
      <c r="O39" t="s">
        <v>857</v>
      </c>
      <c r="Q39">
        <v>92.25</v>
      </c>
      <c r="U39">
        <v>1418</v>
      </c>
      <c r="X39">
        <f t="shared" si="93"/>
        <v>1418</v>
      </c>
    </row>
    <row r="40" spans="3:30">
      <c r="C40" s="302"/>
      <c r="D40" t="s">
        <v>858</v>
      </c>
      <c r="G40">
        <f>SUM(G28:G39)</f>
        <v>2006</v>
      </c>
      <c r="H40">
        <f t="shared" ref="H40:I40" si="94">SUM(H28:H39)</f>
        <v>9956</v>
      </c>
      <c r="I40">
        <f t="shared" si="94"/>
        <v>9350</v>
      </c>
      <c r="J40">
        <v>3983</v>
      </c>
      <c r="K40">
        <f t="shared" si="92"/>
        <v>25295</v>
      </c>
      <c r="M40" s="93"/>
      <c r="N40" s="93"/>
      <c r="O40" t="s">
        <v>858</v>
      </c>
      <c r="R40">
        <f>SUM(R28:R39)</f>
        <v>2443</v>
      </c>
      <c r="S40">
        <f t="shared" ref="S40:W40" si="95">SUM(S28:S39)</f>
        <v>957</v>
      </c>
      <c r="T40">
        <f t="shared" si="95"/>
        <v>955</v>
      </c>
      <c r="U40">
        <f t="shared" si="95"/>
        <v>15553</v>
      </c>
      <c r="V40">
        <f t="shared" si="95"/>
        <v>4704</v>
      </c>
      <c r="W40">
        <f t="shared" si="95"/>
        <v>693</v>
      </c>
      <c r="X40">
        <f t="shared" si="93"/>
        <v>25305</v>
      </c>
      <c r="Z40" s="93"/>
      <c r="AA40" s="93"/>
      <c r="AB40" s="93"/>
      <c r="AD40" s="93"/>
    </row>
    <row r="41" spans="3:30" hidden="1" outlineLevel="1">
      <c r="C41" s="302"/>
      <c r="D41" t="s">
        <v>846</v>
      </c>
      <c r="F41">
        <v>136.69</v>
      </c>
      <c r="G41" s="115">
        <f>G28*F28</f>
        <v>27338</v>
      </c>
      <c r="H41" s="115">
        <f t="shared" ref="H41:J41" si="96">H28*G28</f>
        <v>146400</v>
      </c>
      <c r="I41" s="115">
        <f t="shared" si="96"/>
        <v>598776</v>
      </c>
      <c r="J41" s="115">
        <f t="shared" si="96"/>
        <v>566874</v>
      </c>
      <c r="M41" s="93"/>
      <c r="N41" s="93"/>
      <c r="Z41" s="93"/>
      <c r="AA41" s="93"/>
      <c r="AB41" s="93"/>
      <c r="AD41" s="93"/>
    </row>
    <row r="42" spans="3:30" hidden="1" outlineLevel="1">
      <c r="C42" s="302"/>
      <c r="D42" t="s">
        <v>847</v>
      </c>
      <c r="F42">
        <v>136.69</v>
      </c>
      <c r="G42" s="115">
        <f t="shared" ref="G42:J42" si="97">G29*F29</f>
        <v>164438.07</v>
      </c>
      <c r="H42" s="115">
        <f t="shared" si="97"/>
        <v>4737414</v>
      </c>
      <c r="I42" s="115">
        <f t="shared" si="97"/>
        <v>11668294</v>
      </c>
      <c r="J42" s="115">
        <f t="shared" si="97"/>
        <v>6160077</v>
      </c>
      <c r="M42" s="93"/>
      <c r="N42" s="93"/>
      <c r="Z42" s="93"/>
      <c r="AA42" s="93"/>
      <c r="AB42" s="93"/>
      <c r="AD42" s="93"/>
    </row>
    <row r="43" spans="3:30" hidden="1" outlineLevel="1">
      <c r="C43" s="302"/>
      <c r="D43" t="s">
        <v>848</v>
      </c>
      <c r="F43">
        <v>102.6</v>
      </c>
      <c r="G43" s="115">
        <f t="shared" ref="G43:J43" si="98">G30*F30</f>
        <v>10362.599999999999</v>
      </c>
      <c r="H43" s="115">
        <f t="shared" si="98"/>
        <v>34037</v>
      </c>
      <c r="I43" s="115">
        <f t="shared" si="98"/>
        <v>272970</v>
      </c>
      <c r="J43" s="115">
        <f t="shared" si="98"/>
        <v>280260</v>
      </c>
      <c r="M43" s="93"/>
      <c r="N43" s="93"/>
      <c r="Z43" s="93"/>
      <c r="AA43" s="93"/>
      <c r="AB43" s="93"/>
      <c r="AD43" s="93"/>
    </row>
    <row r="44" spans="3:30" hidden="1" outlineLevel="1">
      <c r="C44" s="302"/>
      <c r="D44" t="s">
        <v>849</v>
      </c>
      <c r="F44">
        <v>114.55</v>
      </c>
      <c r="G44" s="115">
        <f t="shared" ref="G44:J44" si="99">G31*F31</f>
        <v>11569.55</v>
      </c>
      <c r="H44" s="115">
        <f t="shared" si="99"/>
        <v>164731</v>
      </c>
      <c r="I44" s="115">
        <f t="shared" si="99"/>
        <v>1396136</v>
      </c>
      <c r="J44" s="115">
        <f t="shared" si="99"/>
        <v>148088</v>
      </c>
      <c r="M44" s="93"/>
      <c r="N44" s="93"/>
      <c r="Z44" s="93"/>
      <c r="AA44" s="93"/>
      <c r="AB44" s="93"/>
      <c r="AD44" s="93"/>
    </row>
    <row r="45" spans="3:30" hidden="1" outlineLevel="1">
      <c r="C45" s="302"/>
      <c r="D45" t="s">
        <v>850</v>
      </c>
      <c r="F45">
        <v>114.55</v>
      </c>
      <c r="G45" s="115">
        <f t="shared" ref="G45:J45" si="100">G32*F32</f>
        <v>45934.549999999996</v>
      </c>
      <c r="H45" s="115">
        <f t="shared" si="100"/>
        <v>274284</v>
      </c>
      <c r="I45" s="115">
        <f t="shared" si="100"/>
        <v>405612</v>
      </c>
      <c r="J45" s="115">
        <f t="shared" si="100"/>
        <v>103182</v>
      </c>
      <c r="M45" s="93"/>
      <c r="N45" s="93"/>
      <c r="Z45" s="93"/>
      <c r="AA45" s="93"/>
      <c r="AB45" s="93"/>
      <c r="AD45" s="93"/>
    </row>
    <row r="46" spans="3:30" hidden="1" outlineLevel="1">
      <c r="C46" s="302"/>
      <c r="D46" t="s">
        <v>851</v>
      </c>
      <c r="F46">
        <v>115.7</v>
      </c>
      <c r="G46" s="115">
        <f t="shared" ref="G46:J46" si="101">G33*F33</f>
        <v>0</v>
      </c>
      <c r="H46" s="115">
        <f t="shared" si="101"/>
        <v>0</v>
      </c>
      <c r="I46" s="115">
        <f t="shared" si="101"/>
        <v>519760</v>
      </c>
      <c r="J46" s="115">
        <f t="shared" si="101"/>
        <v>0</v>
      </c>
      <c r="M46" s="93"/>
      <c r="N46" s="93"/>
      <c r="Z46" s="93"/>
      <c r="AA46" s="93"/>
      <c r="AB46" s="93"/>
      <c r="AD46" s="93"/>
    </row>
    <row r="47" spans="3:30" hidden="1" outlineLevel="1">
      <c r="C47" s="302"/>
      <c r="D47" t="s">
        <v>852</v>
      </c>
      <c r="F47">
        <v>115.7</v>
      </c>
      <c r="G47" s="115">
        <f t="shared" ref="G47:J47" si="102">G34*F34</f>
        <v>0</v>
      </c>
      <c r="H47" s="115">
        <f t="shared" si="102"/>
        <v>0</v>
      </c>
      <c r="I47" s="115">
        <f t="shared" si="102"/>
        <v>0</v>
      </c>
      <c r="J47" s="115">
        <f t="shared" si="102"/>
        <v>0</v>
      </c>
      <c r="M47" s="93"/>
      <c r="N47" s="93"/>
      <c r="Z47" s="93"/>
      <c r="AA47" s="93"/>
      <c r="AB47" s="93"/>
      <c r="AD47" s="93"/>
    </row>
    <row r="48" spans="3:30" hidden="1" outlineLevel="1">
      <c r="C48" s="302"/>
      <c r="D48" t="s">
        <v>853</v>
      </c>
      <c r="F48">
        <v>115.7</v>
      </c>
      <c r="G48" s="115">
        <f t="shared" ref="G48:J48" si="103">G35*F35</f>
        <v>0</v>
      </c>
      <c r="H48" s="115">
        <f t="shared" si="103"/>
        <v>0</v>
      </c>
      <c r="I48" s="115">
        <f t="shared" si="103"/>
        <v>607311</v>
      </c>
      <c r="J48" s="115">
        <f t="shared" si="103"/>
        <v>0</v>
      </c>
      <c r="M48" s="93"/>
      <c r="N48" s="93"/>
      <c r="Z48" s="93"/>
      <c r="AA48" s="93"/>
      <c r="AB48" s="93"/>
      <c r="AD48" s="93"/>
    </row>
    <row r="49" spans="3:30" hidden="1" outlineLevel="1">
      <c r="C49" s="302"/>
      <c r="D49" t="s">
        <v>854</v>
      </c>
      <c r="F49">
        <v>120.6</v>
      </c>
      <c r="G49" s="115">
        <f t="shared" ref="G49:J49" si="104">G36*F36</f>
        <v>0</v>
      </c>
      <c r="H49" s="115">
        <f t="shared" si="104"/>
        <v>0</v>
      </c>
      <c r="I49" s="115">
        <f t="shared" si="104"/>
        <v>133852</v>
      </c>
      <c r="J49" s="115">
        <f t="shared" si="104"/>
        <v>106836</v>
      </c>
      <c r="M49" s="93"/>
      <c r="N49" s="93"/>
      <c r="Z49" s="93"/>
      <c r="AA49" s="93"/>
      <c r="AB49" s="93"/>
      <c r="AD49" s="93"/>
    </row>
    <row r="50" spans="3:30" hidden="1" outlineLevel="1">
      <c r="C50" s="302"/>
      <c r="D50" t="s">
        <v>855</v>
      </c>
      <c r="F50">
        <v>102.6</v>
      </c>
      <c r="G50" s="115">
        <f t="shared" ref="G50:J50" si="105">G37*F37</f>
        <v>0</v>
      </c>
      <c r="H50" s="115">
        <f t="shared" si="105"/>
        <v>0</v>
      </c>
      <c r="I50" s="115">
        <f t="shared" si="105"/>
        <v>181472</v>
      </c>
      <c r="J50" s="115">
        <f t="shared" si="105"/>
        <v>0</v>
      </c>
      <c r="M50" s="93"/>
      <c r="N50" s="93"/>
      <c r="Z50" s="93"/>
      <c r="AA50" s="93"/>
      <c r="AB50" s="93"/>
      <c r="AD50" s="93"/>
    </row>
    <row r="51" spans="3:30" hidden="1" outlineLevel="1">
      <c r="C51" s="302"/>
      <c r="D51" t="s">
        <v>856</v>
      </c>
      <c r="F51">
        <v>102.6</v>
      </c>
      <c r="G51" s="115">
        <f t="shared" ref="G51:J51" si="106">G38*F38</f>
        <v>0</v>
      </c>
      <c r="H51" s="115">
        <f t="shared" si="106"/>
        <v>0</v>
      </c>
      <c r="I51" s="115">
        <f t="shared" si="106"/>
        <v>5822</v>
      </c>
      <c r="J51" s="115">
        <f t="shared" si="106"/>
        <v>0</v>
      </c>
      <c r="M51" s="93"/>
      <c r="N51" s="93"/>
      <c r="Z51" s="93"/>
      <c r="AA51" s="93"/>
      <c r="AB51" s="93"/>
      <c r="AD51" s="93"/>
    </row>
    <row r="52" spans="3:30" hidden="1" outlineLevel="1">
      <c r="C52" s="302"/>
      <c r="D52" t="s">
        <v>857</v>
      </c>
      <c r="F52">
        <v>92.25</v>
      </c>
      <c r="G52" s="115">
        <f t="shared" ref="G52:J52" si="107">G39*F39</f>
        <v>0</v>
      </c>
      <c r="H52" s="115">
        <f t="shared" si="107"/>
        <v>0</v>
      </c>
      <c r="I52" s="115">
        <f t="shared" si="107"/>
        <v>286350</v>
      </c>
      <c r="J52" s="115">
        <f t="shared" si="107"/>
        <v>172308</v>
      </c>
      <c r="M52" s="93"/>
      <c r="N52" s="93"/>
      <c r="Z52" s="93"/>
      <c r="AA52" s="93"/>
      <c r="AB52" s="93"/>
      <c r="AD52" s="93"/>
    </row>
    <row r="53" spans="3:30" collapsed="1">
      <c r="D53" t="s">
        <v>859</v>
      </c>
      <c r="G53" s="104">
        <v>259601.11</v>
      </c>
      <c r="H53" s="104">
        <v>1224992.69</v>
      </c>
      <c r="I53" s="104">
        <v>1133869.8</v>
      </c>
      <c r="J53" s="104">
        <v>506926.83</v>
      </c>
      <c r="K53" s="104"/>
      <c r="L53" s="104">
        <v>3125390.43</v>
      </c>
      <c r="M53" s="297">
        <f>L53/$P$26</f>
        <v>2751223.9700704231</v>
      </c>
      <c r="N53" s="297"/>
      <c r="O53" t="s">
        <v>859</v>
      </c>
      <c r="R53" s="104">
        <v>333974.68</v>
      </c>
      <c r="S53" s="104">
        <v>98206.67</v>
      </c>
      <c r="T53" s="104">
        <v>119282.32</v>
      </c>
      <c r="U53" s="104">
        <v>1936409.74</v>
      </c>
      <c r="V53" s="104">
        <v>542758.05000000005</v>
      </c>
      <c r="W53" s="104">
        <v>94758.98</v>
      </c>
      <c r="X53" s="104"/>
      <c r="Y53" s="104">
        <v>3125390.43</v>
      </c>
      <c r="Z53" s="297">
        <f>Y53/$P$26</f>
        <v>2751223.9700704231</v>
      </c>
      <c r="AA53" s="93"/>
      <c r="AB53" s="93"/>
      <c r="AD53" s="93"/>
    </row>
    <row r="54" spans="3:30">
      <c r="D54" t="s">
        <v>29</v>
      </c>
      <c r="G54" s="296">
        <f>G40/$F$25</f>
        <v>1.1144444444444443</v>
      </c>
      <c r="H54" s="296">
        <f>H40/$F$25</f>
        <v>5.5311111111111115</v>
      </c>
      <c r="I54" s="296">
        <v>0.5</v>
      </c>
      <c r="J54" s="296">
        <v>8.6</v>
      </c>
      <c r="K54" s="104"/>
      <c r="L54" s="104"/>
      <c r="M54" s="93"/>
      <c r="N54" s="93"/>
      <c r="O54" t="s">
        <v>29</v>
      </c>
      <c r="R54" s="296">
        <v>1.4</v>
      </c>
      <c r="S54" s="296">
        <v>0.5</v>
      </c>
      <c r="T54" s="296">
        <v>0.5</v>
      </c>
      <c r="U54" s="296">
        <v>8.6</v>
      </c>
      <c r="V54" s="296">
        <v>2.6</v>
      </c>
      <c r="W54" s="296">
        <v>0.4</v>
      </c>
      <c r="X54" s="104"/>
      <c r="Y54" s="104"/>
      <c r="Z54" s="93"/>
      <c r="AA54" s="93"/>
      <c r="AB54" s="93"/>
      <c r="AD54" s="93"/>
    </row>
    <row r="55" spans="3:30">
      <c r="D55" t="s">
        <v>860</v>
      </c>
      <c r="G55" s="104"/>
      <c r="H55" s="104"/>
      <c r="I55" s="104"/>
      <c r="J55" s="104"/>
      <c r="K55" s="104"/>
      <c r="L55" s="104"/>
      <c r="O55" t="s">
        <v>860</v>
      </c>
      <c r="R55" s="104"/>
      <c r="S55" s="104"/>
      <c r="T55" s="104"/>
      <c r="U55" s="104"/>
      <c r="V55" s="104"/>
      <c r="W55" s="104"/>
      <c r="X55" s="104"/>
      <c r="Y55" s="104"/>
    </row>
    <row r="56" spans="3:30">
      <c r="D56" t="s">
        <v>861</v>
      </c>
      <c r="G56" s="104"/>
      <c r="H56" s="104"/>
      <c r="I56" s="104">
        <v>137500</v>
      </c>
      <c r="J56" s="104">
        <v>208500</v>
      </c>
      <c r="K56" s="104"/>
      <c r="L56" s="104">
        <f t="shared" ref="L56:L61" si="108">SUM(G56:J56)</f>
        <v>346000</v>
      </c>
      <c r="M56" s="297">
        <f t="shared" ref="M56:M64" si="109">L56/$P$26</f>
        <v>304577.46478873241</v>
      </c>
      <c r="N56" s="297"/>
      <c r="O56" t="s">
        <v>861</v>
      </c>
      <c r="R56" s="104"/>
      <c r="S56" s="104"/>
      <c r="T56" s="104"/>
      <c r="U56" s="104">
        <v>346000</v>
      </c>
      <c r="V56" s="104"/>
      <c r="W56" s="104"/>
      <c r="X56" s="104"/>
      <c r="Y56" s="104">
        <f>SUM(R56:W56)</f>
        <v>346000</v>
      </c>
      <c r="Z56" s="297">
        <f t="shared" ref="Z56:Z64" si="110">Y56/$P$26</f>
        <v>304577.46478873241</v>
      </c>
    </row>
    <row r="57" spans="3:30">
      <c r="D57" t="s">
        <v>862</v>
      </c>
      <c r="G57" s="104"/>
      <c r="H57" s="104"/>
      <c r="I57" s="104">
        <v>80000</v>
      </c>
      <c r="J57" s="104">
        <v>150000</v>
      </c>
      <c r="K57" s="104"/>
      <c r="L57" s="104">
        <f t="shared" si="108"/>
        <v>230000</v>
      </c>
      <c r="M57" s="297">
        <f t="shared" si="109"/>
        <v>202464.78873239437</v>
      </c>
      <c r="N57" s="297"/>
      <c r="O57" t="s">
        <v>862</v>
      </c>
      <c r="R57" s="104"/>
      <c r="S57" s="104"/>
      <c r="T57" s="104"/>
      <c r="U57" s="104">
        <v>230000</v>
      </c>
      <c r="V57" s="104"/>
      <c r="W57" s="104"/>
      <c r="X57" s="104"/>
      <c r="Y57" s="104">
        <f t="shared" ref="Y57:Y61" si="111">SUM(R57:W57)</f>
        <v>230000</v>
      </c>
      <c r="Z57" s="297">
        <f t="shared" si="110"/>
        <v>202464.78873239437</v>
      </c>
    </row>
    <row r="58" spans="3:30">
      <c r="D58" t="s">
        <v>863</v>
      </c>
      <c r="G58" s="104"/>
      <c r="H58" s="104"/>
      <c r="I58" s="104"/>
      <c r="J58" s="104">
        <v>10000</v>
      </c>
      <c r="K58" s="104"/>
      <c r="L58" s="104">
        <f t="shared" si="108"/>
        <v>10000</v>
      </c>
      <c r="M58" s="297">
        <f t="shared" si="109"/>
        <v>8802.8169014084524</v>
      </c>
      <c r="N58" s="297"/>
      <c r="O58" t="s">
        <v>863</v>
      </c>
      <c r="R58" s="104"/>
      <c r="S58" s="104"/>
      <c r="T58" s="104"/>
      <c r="U58" s="104">
        <v>10000</v>
      </c>
      <c r="V58" s="104"/>
      <c r="W58" s="104"/>
      <c r="X58" s="104"/>
      <c r="Y58" s="104">
        <f t="shared" si="111"/>
        <v>10000</v>
      </c>
      <c r="Z58" s="297">
        <f t="shared" si="110"/>
        <v>8802.8169014084524</v>
      </c>
    </row>
    <row r="59" spans="3:30">
      <c r="D59" t="s">
        <v>864</v>
      </c>
      <c r="G59" s="104">
        <v>10000</v>
      </c>
      <c r="H59" s="104">
        <v>10000</v>
      </c>
      <c r="I59" s="104">
        <v>10000</v>
      </c>
      <c r="J59" s="104">
        <v>10000</v>
      </c>
      <c r="K59" s="104"/>
      <c r="L59" s="104">
        <f t="shared" si="108"/>
        <v>40000</v>
      </c>
      <c r="M59" s="297">
        <f t="shared" si="109"/>
        <v>35211.26760563381</v>
      </c>
      <c r="N59" s="297"/>
      <c r="O59" t="s">
        <v>864</v>
      </c>
      <c r="R59" s="104">
        <v>40000</v>
      </c>
      <c r="S59" s="104"/>
      <c r="T59" s="104"/>
      <c r="U59" s="104"/>
      <c r="V59" s="104"/>
      <c r="W59" s="104"/>
      <c r="X59" s="104"/>
      <c r="Y59" s="104">
        <f t="shared" si="111"/>
        <v>40000</v>
      </c>
      <c r="Z59" s="297">
        <f t="shared" si="110"/>
        <v>35211.26760563381</v>
      </c>
    </row>
    <row r="60" spans="3:30">
      <c r="D60" t="s">
        <v>865</v>
      </c>
      <c r="G60" s="104"/>
      <c r="H60" s="104"/>
      <c r="I60" s="104">
        <v>250000</v>
      </c>
      <c r="J60" s="104">
        <v>263600</v>
      </c>
      <c r="K60" s="104"/>
      <c r="L60" s="104">
        <f t="shared" si="108"/>
        <v>513600</v>
      </c>
      <c r="M60" s="297">
        <f t="shared" si="109"/>
        <v>452112.67605633807</v>
      </c>
      <c r="N60" s="297"/>
      <c r="O60" t="s">
        <v>865</v>
      </c>
      <c r="R60" s="104"/>
      <c r="S60" s="104"/>
      <c r="T60" s="104"/>
      <c r="U60" s="104">
        <v>513600</v>
      </c>
      <c r="V60" s="104"/>
      <c r="W60" s="104"/>
      <c r="X60" s="104"/>
      <c r="Y60" s="104">
        <f t="shared" si="111"/>
        <v>513600</v>
      </c>
      <c r="Z60" s="297">
        <f t="shared" si="110"/>
        <v>452112.67605633807</v>
      </c>
    </row>
    <row r="61" spans="3:30">
      <c r="D61" t="s">
        <v>866</v>
      </c>
      <c r="G61" s="104">
        <f>SUM(G56:G60)</f>
        <v>10000</v>
      </c>
      <c r="H61" s="104">
        <f t="shared" ref="H61:J61" si="112">SUM(H56:H60)</f>
        <v>10000</v>
      </c>
      <c r="I61" s="104">
        <f t="shared" si="112"/>
        <v>477500</v>
      </c>
      <c r="J61" s="104">
        <f t="shared" si="112"/>
        <v>642100</v>
      </c>
      <c r="K61" s="104"/>
      <c r="L61" s="104">
        <f t="shared" si="108"/>
        <v>1139600</v>
      </c>
      <c r="M61" s="297">
        <f t="shared" si="109"/>
        <v>1003169.0140845071</v>
      </c>
      <c r="N61" s="297"/>
      <c r="O61" t="s">
        <v>866</v>
      </c>
      <c r="R61" s="104">
        <f>SUM(R56:R60)</f>
        <v>40000</v>
      </c>
      <c r="S61" s="104">
        <f t="shared" ref="S61:W61" si="113">SUM(S56:S60)</f>
        <v>0</v>
      </c>
      <c r="T61" s="104">
        <f t="shared" si="113"/>
        <v>0</v>
      </c>
      <c r="U61" s="104">
        <f t="shared" si="113"/>
        <v>1099600</v>
      </c>
      <c r="V61" s="104">
        <f t="shared" si="113"/>
        <v>0</v>
      </c>
      <c r="W61" s="104">
        <f t="shared" si="113"/>
        <v>0</v>
      </c>
      <c r="X61" s="104"/>
      <c r="Y61" s="104">
        <f t="shared" si="111"/>
        <v>1139600</v>
      </c>
      <c r="Z61" s="297">
        <f t="shared" si="110"/>
        <v>1003169.0140845071</v>
      </c>
    </row>
    <row r="62" spans="3:30">
      <c r="D62" t="s">
        <v>867</v>
      </c>
      <c r="G62" s="104">
        <f>SUM(G61,G53)</f>
        <v>269601.11</v>
      </c>
      <c r="H62" s="104">
        <f t="shared" ref="H62:J62" si="114">SUM(H61,H53)</f>
        <v>1234992.69</v>
      </c>
      <c r="I62" s="104">
        <f t="shared" si="114"/>
        <v>1611369.8</v>
      </c>
      <c r="J62" s="104">
        <f t="shared" si="114"/>
        <v>1149026.83</v>
      </c>
      <c r="K62" s="104"/>
      <c r="L62" s="104">
        <f t="shared" ref="L62" si="115">SUM(L61,L53)</f>
        <v>4264990.43</v>
      </c>
      <c r="M62" s="297">
        <f t="shared" si="109"/>
        <v>3754392.9841549299</v>
      </c>
      <c r="N62" s="297"/>
      <c r="O62" t="s">
        <v>867</v>
      </c>
      <c r="R62" s="104">
        <f>SUM(R61,R53)</f>
        <v>373974.68</v>
      </c>
      <c r="S62" s="104">
        <f t="shared" ref="S62:Y62" si="116">SUM(S61,S53)</f>
        <v>98206.67</v>
      </c>
      <c r="T62" s="104">
        <f t="shared" si="116"/>
        <v>119282.32</v>
      </c>
      <c r="U62" s="104">
        <f t="shared" si="116"/>
        <v>3036009.74</v>
      </c>
      <c r="V62" s="104">
        <f t="shared" si="116"/>
        <v>542758.05000000005</v>
      </c>
      <c r="W62" s="104">
        <f t="shared" si="116"/>
        <v>94758.98</v>
      </c>
      <c r="X62" s="104"/>
      <c r="Y62" s="104">
        <f t="shared" si="116"/>
        <v>4264990.43</v>
      </c>
      <c r="Z62" s="297">
        <f t="shared" si="110"/>
        <v>3754392.9841549299</v>
      </c>
    </row>
    <row r="63" spans="3:30">
      <c r="D63" t="s">
        <v>868</v>
      </c>
      <c r="E63" t="s">
        <v>869</v>
      </c>
      <c r="G63" s="104">
        <v>21568.09</v>
      </c>
      <c r="H63" s="104">
        <v>98799.42</v>
      </c>
      <c r="I63" s="104">
        <v>128909.58</v>
      </c>
      <c r="J63" s="104">
        <v>91922.15</v>
      </c>
      <c r="L63" s="104">
        <f>SUM(G63:K63)</f>
        <v>341199.24</v>
      </c>
      <c r="M63" s="297">
        <f t="shared" si="109"/>
        <v>300351.44366197183</v>
      </c>
      <c r="N63" s="297"/>
      <c r="O63" t="s">
        <v>868</v>
      </c>
      <c r="P63" t="s">
        <v>869</v>
      </c>
      <c r="R63" s="104">
        <v>29917.97</v>
      </c>
      <c r="S63" s="104">
        <v>7856.53</v>
      </c>
      <c r="T63" s="104">
        <v>9542.59</v>
      </c>
      <c r="U63" s="104">
        <v>242880.78</v>
      </c>
      <c r="V63" s="104">
        <v>43420.639999999999</v>
      </c>
      <c r="W63" s="104">
        <v>7580.72</v>
      </c>
      <c r="Y63" s="104">
        <f>SUM(R63:X63)</f>
        <v>341199.23</v>
      </c>
      <c r="Z63" s="297">
        <f t="shared" si="110"/>
        <v>300351.43485915492</v>
      </c>
    </row>
    <row r="64" spans="3:30">
      <c r="D64" t="s">
        <v>870</v>
      </c>
      <c r="G64" s="105">
        <f>SUM(G62:G63)</f>
        <v>291169.2</v>
      </c>
      <c r="H64" s="105">
        <f t="shared" ref="H64:J64" si="117">SUM(H62:H63)</f>
        <v>1333792.1099999999</v>
      </c>
      <c r="I64" s="105">
        <f t="shared" si="117"/>
        <v>1740279.3800000001</v>
      </c>
      <c r="J64" s="105">
        <f t="shared" si="117"/>
        <v>1240948.98</v>
      </c>
      <c r="K64" s="105"/>
      <c r="L64" s="105">
        <f t="shared" ref="L64" si="118">SUM(L62:L63)</f>
        <v>4606189.67</v>
      </c>
      <c r="M64" s="297">
        <f t="shared" si="109"/>
        <v>4054744.4278169018</v>
      </c>
      <c r="N64" s="297"/>
      <c r="O64" t="s">
        <v>870</v>
      </c>
      <c r="R64" s="105">
        <f>SUM(R62:R63)</f>
        <v>403892.65</v>
      </c>
      <c r="S64" s="105">
        <f t="shared" ref="S64:Y64" si="119">SUM(S62:S63)</f>
        <v>106063.2</v>
      </c>
      <c r="T64" s="105">
        <f t="shared" si="119"/>
        <v>128824.91</v>
      </c>
      <c r="U64" s="105">
        <f t="shared" si="119"/>
        <v>3278890.52</v>
      </c>
      <c r="V64" s="105">
        <f t="shared" si="119"/>
        <v>586178.69000000006</v>
      </c>
      <c r="W64" s="105">
        <f t="shared" si="119"/>
        <v>102339.7</v>
      </c>
      <c r="X64" s="105"/>
      <c r="Y64" s="105">
        <f t="shared" si="119"/>
        <v>4606189.66</v>
      </c>
      <c r="Z64" s="297">
        <f t="shared" si="110"/>
        <v>4054744.4190140851</v>
      </c>
    </row>
    <row r="65" spans="1:12">
      <c r="D65" t="s">
        <v>767</v>
      </c>
      <c r="G65" s="105">
        <f>G64/$F$24</f>
        <v>256310.91549295778</v>
      </c>
      <c r="H65" s="105">
        <f t="shared" ref="H65:L65" si="120">H64/$F$24</f>
        <v>1174112.772887324</v>
      </c>
      <c r="I65" s="105">
        <f t="shared" si="120"/>
        <v>1531936.0739436622</v>
      </c>
      <c r="J65" s="105">
        <f t="shared" si="120"/>
        <v>1092384.6654929579</v>
      </c>
      <c r="L65" s="105">
        <f t="shared" si="120"/>
        <v>4054744.4278169018</v>
      </c>
    </row>
    <row r="66" spans="1:12">
      <c r="G66" s="301">
        <f>G65/1000</f>
        <v>256.3109154929578</v>
      </c>
      <c r="H66" s="301">
        <f t="shared" ref="H66:J66" si="121">H65/1000</f>
        <v>1174.1127728873239</v>
      </c>
      <c r="I66" s="301">
        <f t="shared" si="121"/>
        <v>1531.9360739436622</v>
      </c>
      <c r="J66" s="301">
        <f t="shared" si="121"/>
        <v>1092.384665492958</v>
      </c>
      <c r="L66" s="105"/>
    </row>
    <row r="67" spans="1:12">
      <c r="D67" t="s">
        <v>871</v>
      </c>
      <c r="G67" s="105"/>
      <c r="H67" s="105"/>
      <c r="I67" s="105"/>
      <c r="J67" s="105"/>
      <c r="L67" s="105"/>
    </row>
    <row r="68" spans="1:12">
      <c r="G68" s="105"/>
      <c r="H68" s="105"/>
      <c r="I68" s="105"/>
      <c r="J68" s="105"/>
      <c r="L68" s="105"/>
    </row>
    <row r="69" spans="1:12">
      <c r="A69" t="s">
        <v>29</v>
      </c>
      <c r="F69" t="s">
        <v>818</v>
      </c>
      <c r="G69">
        <v>10</v>
      </c>
      <c r="H69">
        <v>12</v>
      </c>
      <c r="I69">
        <v>12</v>
      </c>
      <c r="J69">
        <v>19</v>
      </c>
      <c r="K69">
        <f>SUM(G69:J69)</f>
        <v>53</v>
      </c>
    </row>
    <row r="70" spans="1:12">
      <c r="G70" t="s">
        <v>819</v>
      </c>
      <c r="H70" t="s">
        <v>820</v>
      </c>
      <c r="I70" t="s">
        <v>821</v>
      </c>
      <c r="J70" t="s">
        <v>822</v>
      </c>
    </row>
    <row r="71" spans="1:12">
      <c r="A71" t="s">
        <v>22</v>
      </c>
      <c r="B71" t="s">
        <v>824</v>
      </c>
      <c r="C71" t="s">
        <v>825</v>
      </c>
      <c r="D71" t="s">
        <v>546</v>
      </c>
      <c r="G71" s="300" t="s">
        <v>826</v>
      </c>
      <c r="H71" s="300" t="s">
        <v>827</v>
      </c>
      <c r="I71" s="300" t="s">
        <v>828</v>
      </c>
      <c r="J71" s="300" t="s">
        <v>829</v>
      </c>
      <c r="K71" s="300" t="s">
        <v>29</v>
      </c>
    </row>
    <row r="72" spans="1:12">
      <c r="A72" t="s">
        <v>32</v>
      </c>
      <c r="B72" t="str">
        <f>VLOOKUP(A72,'Price Table 8 APCO'!A:F,2,FALSE)</f>
        <v>Management</v>
      </c>
      <c r="C72" t="str">
        <f>VLOOKUP(A72,'Price Table 8 APCO'!A:F,6,FALSE)</f>
        <v>Manpower</v>
      </c>
      <c r="D72">
        <v>110000</v>
      </c>
      <c r="E72" t="s">
        <v>831</v>
      </c>
      <c r="F72" t="s">
        <v>744</v>
      </c>
      <c r="G72" s="116">
        <f>G7/$K$7*$R$54</f>
        <v>0.11628676869020807</v>
      </c>
      <c r="H72" s="116">
        <f t="shared" ref="H72:J72" si="122">H7/$K$7*$R$54</f>
        <v>0.54872816833959515</v>
      </c>
      <c r="I72" s="116">
        <f t="shared" si="122"/>
        <v>0.50791021331693265</v>
      </c>
      <c r="J72" s="116">
        <f t="shared" si="122"/>
        <v>0.22707484965326394</v>
      </c>
      <c r="K72" s="349">
        <f>SUM(G72:J72)</f>
        <v>1.3999999999999997</v>
      </c>
    </row>
    <row r="73" spans="1:12">
      <c r="A73" t="s">
        <v>76</v>
      </c>
      <c r="B73" t="str">
        <f>VLOOKUP(A73,'Price Table 8 APCO'!A:F,2,FALSE)</f>
        <v>Product Assurance</v>
      </c>
      <c r="C73" t="str">
        <f>VLOOKUP(A73,'Price Table 8 APCO'!A:F,6,FALSE)</f>
        <v>Manpower</v>
      </c>
      <c r="D73">
        <v>130000</v>
      </c>
      <c r="E73" t="s">
        <v>832</v>
      </c>
      <c r="F73" t="s">
        <v>744</v>
      </c>
      <c r="G73" s="116">
        <f>G29/$K29*$K73</f>
        <v>5.9069036629676913E-2</v>
      </c>
      <c r="H73" s="116">
        <f t="shared" ref="H73:J73" si="123">H29/$K$29*$K73</f>
        <v>0.19336148482765395</v>
      </c>
      <c r="I73" s="116">
        <f t="shared" si="123"/>
        <v>0.14548757733477363</v>
      </c>
      <c r="J73" s="116">
        <f t="shared" si="123"/>
        <v>0.10208190120789551</v>
      </c>
      <c r="K73" s="296">
        <v>0.5</v>
      </c>
    </row>
    <row r="74" spans="1:12">
      <c r="A74" t="s">
        <v>62</v>
      </c>
      <c r="B74" t="str">
        <f>VLOOKUP(A74,'Price Table 8 APCO'!A:F,2,FALSE)</f>
        <v>(Project &amp; Mission) Engineering</v>
      </c>
      <c r="C74" t="str">
        <f>VLOOKUP(A74,'Price Table 8 APCO'!A:F,6,FALSE)</f>
        <v>Manpower</v>
      </c>
      <c r="D74">
        <v>310000</v>
      </c>
      <c r="E74" t="s">
        <v>833</v>
      </c>
      <c r="F74" t="s">
        <v>744</v>
      </c>
      <c r="G74" s="116">
        <f t="shared" ref="G74:G77" si="124">G30/$K30*$K74</f>
        <v>3.1681304893350061E-2</v>
      </c>
      <c r="H74" s="116">
        <f t="shared" ref="H74:J74" si="125">H30/$K$29*$K74</f>
        <v>1.6547186487282727E-2</v>
      </c>
      <c r="I74" s="116">
        <f t="shared" si="125"/>
        <v>3.9772169301777474E-2</v>
      </c>
      <c r="J74" s="116">
        <f t="shared" si="125"/>
        <v>1.6989099479524698E-2</v>
      </c>
      <c r="K74" s="296">
        <v>0.5</v>
      </c>
    </row>
    <row r="75" spans="1:12">
      <c r="A75" t="s">
        <v>321</v>
      </c>
      <c r="B75" t="str">
        <f>VLOOKUP(A75,'Price Table 8 APCO'!A:F,2,FALSE)</f>
        <v>Structure - Engineering</v>
      </c>
      <c r="C75" t="str">
        <f>VLOOKUP(A75,'Price Table 8 APCO'!A:F,6,FALSE)</f>
        <v>Manpower</v>
      </c>
      <c r="D75">
        <v>490000</v>
      </c>
      <c r="E75" t="s">
        <v>834</v>
      </c>
      <c r="F75" t="s">
        <v>744</v>
      </c>
      <c r="G75" s="116">
        <f t="shared" si="124"/>
        <v>0.31459616081130026</v>
      </c>
      <c r="H75" s="116">
        <f t="shared" ref="H75:J75" si="126">H31/$K$29*$K75</f>
        <v>1.3774526171069428</v>
      </c>
      <c r="I75" s="116">
        <f t="shared" si="126"/>
        <v>0.72293037415299999</v>
      </c>
      <c r="J75" s="116">
        <f t="shared" si="126"/>
        <v>0.1461062555239124</v>
      </c>
      <c r="K75" s="296">
        <v>8.6</v>
      </c>
    </row>
    <row r="76" spans="1:12">
      <c r="A76" t="s">
        <v>351</v>
      </c>
      <c r="B76" t="str">
        <f>VLOOKUP(A76,'Price Table 8 APCO'!A:F,2,FALSE)</f>
        <v>(System level) Assembly, Integration and Testing,Verification</v>
      </c>
      <c r="C76" t="str">
        <f>VLOOKUP(A76,'Price Table 8 APCO'!A:F,6,FALSE)</f>
        <v>Manpower</v>
      </c>
      <c r="D76">
        <v>510000</v>
      </c>
      <c r="E76" t="s">
        <v>835</v>
      </c>
      <c r="F76" t="s">
        <v>744</v>
      </c>
      <c r="G76" s="116">
        <f>G32/$K32*$K76</f>
        <v>0.56295896328293737</v>
      </c>
      <c r="H76" s="116">
        <f t="shared" ref="H76:J76" si="127">H32/$K$29*$K76</f>
        <v>0.17464401453402728</v>
      </c>
      <c r="I76" s="116">
        <f t="shared" si="127"/>
        <v>0.15140921143081607</v>
      </c>
      <c r="J76" s="116">
        <f t="shared" si="127"/>
        <v>4.4426986153392911E-2</v>
      </c>
      <c r="K76" s="296">
        <v>2.6</v>
      </c>
    </row>
    <row r="77" spans="1:12">
      <c r="A77" t="s">
        <v>351</v>
      </c>
      <c r="B77" t="str">
        <f>VLOOKUP(A77,'Price Table 8 APCO'!A:F,2,FALSE)</f>
        <v>(System level) Assembly, Integration and Testing,Verification</v>
      </c>
      <c r="C77" t="str">
        <f>VLOOKUP(A77,'Price Table 8 APCO'!A:F,6,FALSE)</f>
        <v>Manpower</v>
      </c>
      <c r="D77" s="63">
        <v>550300</v>
      </c>
      <c r="E77" t="s">
        <v>836</v>
      </c>
      <c r="F77" t="s">
        <v>744</v>
      </c>
      <c r="G77" s="116">
        <f t="shared" si="124"/>
        <v>0</v>
      </c>
      <c r="H77" s="116">
        <f t="shared" ref="H77:J77" si="128">H33/$K$29*$K77</f>
        <v>2.2940194441716587E-2</v>
      </c>
      <c r="I77" s="116">
        <f t="shared" si="128"/>
        <v>3.4960227830698222E-2</v>
      </c>
      <c r="J77" s="116">
        <f t="shared" si="128"/>
        <v>0</v>
      </c>
      <c r="K77" s="296">
        <v>0.4</v>
      </c>
    </row>
  </sheetData>
  <phoneticPr fontId="28"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sheetPr>
  <dimension ref="A1:AK92"/>
  <sheetViews>
    <sheetView workbookViewId="0">
      <pane xSplit="9" ySplit="12" topLeftCell="J67" activePane="bottomRight" state="frozen"/>
      <selection pane="topRight" activeCell="AR78" sqref="AR78"/>
      <selection pane="bottomLeft" activeCell="AR78" sqref="AR78"/>
      <selection pane="bottomRight" activeCell="AR78" sqref="AR78"/>
    </sheetView>
  </sheetViews>
  <sheetFormatPr defaultColWidth="8.85546875" defaultRowHeight="15"/>
  <cols>
    <col min="1" max="1" width="5.28515625" customWidth="1"/>
    <col min="2" max="2" width="31.42578125" customWidth="1"/>
    <col min="3" max="3" width="7.28515625" customWidth="1"/>
    <col min="4" max="4" width="6.85546875" customWidth="1"/>
    <col min="5" max="5" width="8.85546875" style="36"/>
    <col min="6" max="6" width="12.42578125" style="36" bestFit="1" customWidth="1"/>
    <col min="7" max="7" width="12.42578125" style="36" customWidth="1"/>
    <col min="8" max="8" width="15.85546875" style="36" customWidth="1"/>
    <col min="9" max="9" width="12.42578125" bestFit="1" customWidth="1"/>
    <col min="18" max="18" width="6.85546875" customWidth="1"/>
    <col min="26" max="26" width="6.85546875" customWidth="1"/>
    <col min="34" max="34" width="8.85546875" style="115"/>
  </cols>
  <sheetData>
    <row r="1" spans="1:34" ht="18.75">
      <c r="A1" s="1" t="s">
        <v>528</v>
      </c>
    </row>
    <row r="5" spans="1:34">
      <c r="B5" s="4" t="s">
        <v>529</v>
      </c>
    </row>
    <row r="6" spans="1:34">
      <c r="B6" s="6" t="s">
        <v>530</v>
      </c>
      <c r="C6" s="7">
        <v>2019</v>
      </c>
    </row>
    <row r="7" spans="1:34">
      <c r="B7" s="6" t="s">
        <v>531</v>
      </c>
      <c r="C7" s="125" t="s">
        <v>532</v>
      </c>
      <c r="D7" s="626"/>
    </row>
    <row r="8" spans="1:34">
      <c r="I8" t="s">
        <v>533</v>
      </c>
      <c r="J8" s="2">
        <v>2020</v>
      </c>
      <c r="K8" s="2"/>
      <c r="L8" s="2"/>
      <c r="M8" s="2"/>
      <c r="N8" s="3">
        <v>2021</v>
      </c>
      <c r="O8" s="3"/>
      <c r="P8" s="3"/>
      <c r="Q8" s="3"/>
      <c r="R8" s="2">
        <v>2022</v>
      </c>
      <c r="S8" s="2"/>
      <c r="T8" s="2"/>
      <c r="U8" s="2"/>
      <c r="V8" s="3">
        <v>2023</v>
      </c>
      <c r="W8" s="3"/>
      <c r="X8" s="3"/>
      <c r="Y8" s="3"/>
      <c r="Z8" s="2">
        <v>2024</v>
      </c>
      <c r="AA8" s="2"/>
      <c r="AB8" s="2"/>
      <c r="AC8" s="2"/>
      <c r="AD8" s="3">
        <v>2025</v>
      </c>
      <c r="AE8" s="3"/>
      <c r="AF8" s="3"/>
      <c r="AG8" s="3"/>
      <c r="AH8" s="115" t="s">
        <v>534</v>
      </c>
    </row>
    <row r="9" spans="1:34">
      <c r="I9" t="s">
        <v>27</v>
      </c>
      <c r="J9" t="s">
        <v>536</v>
      </c>
      <c r="M9" t="s">
        <v>537</v>
      </c>
      <c r="S9" t="s">
        <v>538</v>
      </c>
    </row>
    <row r="10" spans="1:34">
      <c r="A10" t="s">
        <v>541</v>
      </c>
      <c r="B10" s="9" t="s">
        <v>542</v>
      </c>
      <c r="C10" s="10"/>
      <c r="D10" s="11"/>
      <c r="E10" s="36" t="s">
        <v>543</v>
      </c>
      <c r="F10" s="36" t="s">
        <v>544</v>
      </c>
      <c r="G10" s="36" t="s">
        <v>545</v>
      </c>
      <c r="H10" s="36" t="s">
        <v>546</v>
      </c>
      <c r="I10" s="17" t="s">
        <v>547</v>
      </c>
      <c r="J10" s="17" t="s">
        <v>548</v>
      </c>
      <c r="K10" s="17" t="s">
        <v>549</v>
      </c>
      <c r="L10" s="17" t="s">
        <v>550</v>
      </c>
      <c r="M10" s="17" t="s">
        <v>551</v>
      </c>
      <c r="N10" s="17" t="s">
        <v>548</v>
      </c>
      <c r="O10" s="17" t="s">
        <v>549</v>
      </c>
      <c r="P10" s="17" t="s">
        <v>550</v>
      </c>
      <c r="Q10" s="17" t="s">
        <v>551</v>
      </c>
      <c r="R10" s="17" t="s">
        <v>548</v>
      </c>
      <c r="S10" s="17" t="s">
        <v>549</v>
      </c>
      <c r="T10" s="17" t="s">
        <v>550</v>
      </c>
      <c r="U10" s="17" t="s">
        <v>551</v>
      </c>
      <c r="V10" s="17" t="s">
        <v>548</v>
      </c>
      <c r="W10" s="17" t="s">
        <v>549</v>
      </c>
      <c r="X10" s="17" t="s">
        <v>550</v>
      </c>
      <c r="Y10" s="17" t="s">
        <v>551</v>
      </c>
      <c r="Z10" s="17" t="s">
        <v>548</v>
      </c>
      <c r="AA10" s="17" t="s">
        <v>549</v>
      </c>
      <c r="AB10" s="17" t="s">
        <v>550</v>
      </c>
      <c r="AC10" s="17" t="s">
        <v>551</v>
      </c>
      <c r="AD10" s="17" t="s">
        <v>548</v>
      </c>
      <c r="AE10" s="17" t="s">
        <v>549</v>
      </c>
      <c r="AF10" s="17" t="s">
        <v>550</v>
      </c>
      <c r="AG10" s="17" t="s">
        <v>551</v>
      </c>
    </row>
    <row r="11" spans="1:34">
      <c r="B11" s="12" t="s">
        <v>552</v>
      </c>
      <c r="C11" s="13"/>
      <c r="D11" s="14"/>
      <c r="I11" s="17" t="s">
        <v>553</v>
      </c>
      <c r="J11" s="17" t="s">
        <v>554</v>
      </c>
      <c r="K11" s="17"/>
      <c r="L11" s="17"/>
      <c r="M11" s="17" t="s">
        <v>555</v>
      </c>
      <c r="N11" s="17"/>
      <c r="O11" s="17"/>
      <c r="P11" s="17"/>
      <c r="Q11" s="17"/>
      <c r="R11" s="17"/>
      <c r="S11" s="17"/>
      <c r="T11" s="17"/>
      <c r="U11" s="17"/>
      <c r="V11" s="17"/>
      <c r="W11" s="17"/>
      <c r="X11" s="17"/>
      <c r="Y11" s="17"/>
      <c r="Z11" s="17"/>
      <c r="AA11" s="17"/>
      <c r="AB11" s="17"/>
      <c r="AC11" s="17"/>
      <c r="AD11" s="17"/>
      <c r="AE11" s="17"/>
      <c r="AF11" s="17"/>
      <c r="AG11" s="17"/>
    </row>
    <row r="12" spans="1:34">
      <c r="B12" s="39" t="s">
        <v>556</v>
      </c>
      <c r="C12" s="40"/>
      <c r="D12" s="41"/>
      <c r="J12" s="8">
        <v>43862</v>
      </c>
      <c r="K12" s="8">
        <v>43922</v>
      </c>
      <c r="L12" s="8">
        <v>44012</v>
      </c>
      <c r="M12" s="8">
        <v>44227</v>
      </c>
    </row>
    <row r="13" spans="1:34">
      <c r="B13" s="42" t="s">
        <v>557</v>
      </c>
      <c r="C13" s="43"/>
      <c r="D13" s="44"/>
    </row>
    <row r="14" spans="1:34">
      <c r="A14" t="s">
        <v>32</v>
      </c>
      <c r="B14" s="42" t="s">
        <v>558</v>
      </c>
      <c r="C14" s="43"/>
      <c r="D14" s="44"/>
      <c r="E14" s="36" t="s">
        <v>12</v>
      </c>
      <c r="F14" s="36" t="s">
        <v>13</v>
      </c>
      <c r="G14" s="36" t="str">
        <f>CONCATENATE(E14,F14)</f>
        <v>MGTManpower</v>
      </c>
      <c r="H14" s="60">
        <v>110000</v>
      </c>
      <c r="J14" s="123">
        <f>SUMIF(EPFL!$A:$A,'Price Table 8 EPFL'!$A14,EPFL!J:J)</f>
        <v>21.4195426086957</v>
      </c>
      <c r="K14" s="123">
        <f>SUMIF(EPFL!$A:$A,'Price Table 8 EPFL'!$A14,EPFL!K:K)</f>
        <v>21.4195426086957</v>
      </c>
      <c r="L14" s="123">
        <f>SUMIF(EPFL!$A:$A,'Price Table 8 EPFL'!$A14,EPFL!L:L)</f>
        <v>21.4195426086957</v>
      </c>
      <c r="M14" s="123">
        <f>SUMIF(EPFL!$A:$A,'Price Table 8 EPFL'!$A14,EPFL!M:M)</f>
        <v>21.4195426086957</v>
      </c>
      <c r="N14" s="123">
        <f>SUMIF(EPFL!$A:$A,'Price Table 8 EPFL'!$A14,EPFL!N:N)</f>
        <v>21.4195426086957</v>
      </c>
      <c r="O14" s="123">
        <f>SUMIF(EPFL!$A:$A,'Price Table 8 EPFL'!$A14,EPFL!O:O)</f>
        <v>21.4195426086957</v>
      </c>
      <c r="P14" s="123">
        <f>SUMIF(EPFL!$A:$A,'Price Table 8 EPFL'!$A14,EPFL!P:P)</f>
        <v>21.4195426086957</v>
      </c>
      <c r="Q14" s="123">
        <f>SUMIF(EPFL!$A:$A,'Price Table 8 EPFL'!$A14,EPFL!Q:Q)</f>
        <v>21.4195426086957</v>
      </c>
      <c r="R14" s="28"/>
      <c r="S14" s="28"/>
      <c r="T14" s="28"/>
      <c r="U14" s="28"/>
      <c r="V14" s="28"/>
      <c r="W14" s="28"/>
      <c r="X14" s="28"/>
      <c r="Y14" s="28"/>
      <c r="Z14" s="28"/>
      <c r="AA14" s="28"/>
      <c r="AB14" s="28"/>
      <c r="AC14" s="28"/>
      <c r="AD14" s="28"/>
      <c r="AE14" s="28"/>
      <c r="AF14" s="28"/>
      <c r="AG14" s="28"/>
      <c r="AH14" s="115">
        <f>SUM(J14:AG14)</f>
        <v>171.35634086956563</v>
      </c>
    </row>
    <row r="15" spans="1:34">
      <c r="A15" t="s">
        <v>76</v>
      </c>
      <c r="B15" s="42" t="s">
        <v>559</v>
      </c>
      <c r="C15" s="43"/>
      <c r="D15" s="44"/>
      <c r="E15" s="36" t="s">
        <v>12</v>
      </c>
      <c r="F15" s="36" t="s">
        <v>13</v>
      </c>
      <c r="G15" s="36" t="str">
        <f>CONCATENATE(E15,F15)</f>
        <v>MGTManpower</v>
      </c>
      <c r="H15" s="16">
        <v>130000</v>
      </c>
      <c r="J15" s="123">
        <f>SUMIF(EPFL!$A:$A,'Price Table 8 EPFL'!$A15,EPFL!J:J)</f>
        <v>0</v>
      </c>
      <c r="K15" s="123">
        <f>SUMIF(EPFL!$A:$A,'Price Table 8 EPFL'!$A15,EPFL!K:K)</f>
        <v>0</v>
      </c>
      <c r="L15" s="123">
        <f>SUMIF(EPFL!$A:$A,'Price Table 8 EPFL'!$A15,EPFL!L:L)</f>
        <v>0</v>
      </c>
      <c r="M15" s="123">
        <f>SUMIF(EPFL!$A:$A,'Price Table 8 EPFL'!$A15,EPFL!M:M)</f>
        <v>0</v>
      </c>
      <c r="N15" s="123">
        <f>SUMIF(EPFL!$A:$A,'Price Table 8 EPFL'!$A15,EPFL!N:N)</f>
        <v>0</v>
      </c>
      <c r="O15" s="123">
        <f>SUMIF(EPFL!$A:$A,'Price Table 8 EPFL'!$A15,EPFL!O:O)</f>
        <v>0</v>
      </c>
      <c r="P15" s="123">
        <f>SUMIF(EPFL!$A:$A,'Price Table 8 EPFL'!$A15,EPFL!P:P)</f>
        <v>0</v>
      </c>
      <c r="Q15" s="123">
        <f>SUMIF(EPFL!$A:$A,'Price Table 8 EPFL'!$A15,EPFL!Q:Q)</f>
        <v>0</v>
      </c>
      <c r="R15" s="28"/>
      <c r="S15" s="28"/>
      <c r="T15" s="28"/>
      <c r="U15" s="28"/>
      <c r="V15" s="28"/>
      <c r="W15" s="28"/>
      <c r="X15" s="28"/>
      <c r="Y15" s="29"/>
      <c r="Z15" s="28"/>
      <c r="AA15" s="28"/>
      <c r="AB15" s="28"/>
      <c r="AC15" s="28"/>
      <c r="AD15" s="28"/>
      <c r="AE15" s="28"/>
      <c r="AF15" s="28"/>
      <c r="AG15" s="28"/>
      <c r="AH15" s="115">
        <f t="shared" ref="AH15:AH78" si="0">SUM(J15:AG15)</f>
        <v>0</v>
      </c>
    </row>
    <row r="16" spans="1:34">
      <c r="A16" t="s">
        <v>62</v>
      </c>
      <c r="B16" s="42" t="s">
        <v>560</v>
      </c>
      <c r="C16" s="43"/>
      <c r="D16" s="44"/>
      <c r="E16" s="36" t="s">
        <v>14</v>
      </c>
      <c r="F16" s="36" t="s">
        <v>13</v>
      </c>
      <c r="G16" s="36" t="str">
        <f>CONCATENATE(E16,F16)</f>
        <v>MISSIONManpower</v>
      </c>
      <c r="H16" s="16" t="s">
        <v>561</v>
      </c>
      <c r="J16" s="123">
        <f>SUMIF(EPFL!$A:$A,'Price Table 8 EPFL'!$A16,EPFL!J:J)</f>
        <v>0</v>
      </c>
      <c r="K16" s="123">
        <f>SUMIF(EPFL!$A:$A,'Price Table 8 EPFL'!$A16,EPFL!K:K)</f>
        <v>0</v>
      </c>
      <c r="L16" s="123">
        <f>SUMIF(EPFL!$A:$A,'Price Table 8 EPFL'!$A16,EPFL!L:L)</f>
        <v>0</v>
      </c>
      <c r="M16" s="123">
        <f>SUMIF(EPFL!$A:$A,'Price Table 8 EPFL'!$A16,EPFL!M:M)</f>
        <v>0</v>
      </c>
      <c r="N16" s="123">
        <f>SUMIF(EPFL!$A:$A,'Price Table 8 EPFL'!$A16,EPFL!N:N)</f>
        <v>0</v>
      </c>
      <c r="O16" s="123">
        <f>SUMIF(EPFL!$A:$A,'Price Table 8 EPFL'!$A16,EPFL!O:O)</f>
        <v>0</v>
      </c>
      <c r="P16" s="123">
        <f>SUMIF(EPFL!$A:$A,'Price Table 8 EPFL'!$A16,EPFL!P:P)</f>
        <v>0</v>
      </c>
      <c r="Q16" s="123">
        <f>SUMIF(EPFL!$A:$A,'Price Table 8 EPFL'!$A16,EPFL!Q:Q)</f>
        <v>0</v>
      </c>
      <c r="R16" s="28"/>
      <c r="S16" s="28"/>
      <c r="T16" s="28"/>
      <c r="U16" s="28"/>
      <c r="V16" s="28"/>
      <c r="W16" s="28"/>
      <c r="X16" s="28"/>
      <c r="Y16" s="29"/>
      <c r="Z16" s="30"/>
      <c r="AA16" s="30"/>
      <c r="AB16" s="30"/>
      <c r="AC16" s="30"/>
      <c r="AD16" s="30"/>
      <c r="AE16" s="30"/>
      <c r="AF16" s="30"/>
      <c r="AG16" s="30"/>
      <c r="AH16" s="115">
        <f t="shared" si="0"/>
        <v>0</v>
      </c>
    </row>
    <row r="17" spans="1:36" s="16" customFormat="1">
      <c r="B17" s="45"/>
      <c r="C17" s="55"/>
      <c r="D17" s="56" t="s">
        <v>562</v>
      </c>
      <c r="E17" s="57"/>
      <c r="F17" s="57"/>
      <c r="G17" s="57"/>
      <c r="H17" s="17"/>
      <c r="J17" s="390"/>
      <c r="K17" s="390"/>
      <c r="L17" s="390"/>
      <c r="M17" s="390"/>
      <c r="N17" s="390"/>
      <c r="O17" s="390"/>
      <c r="P17" s="390"/>
      <c r="Q17" s="390"/>
      <c r="AH17" s="390"/>
    </row>
    <row r="18" spans="1:36">
      <c r="A18" t="s">
        <v>120</v>
      </c>
      <c r="B18" s="42" t="s">
        <v>563</v>
      </c>
      <c r="C18" s="43"/>
      <c r="D18" s="44"/>
      <c r="E18" s="36" t="s">
        <v>14</v>
      </c>
      <c r="F18" s="36" t="s">
        <v>13</v>
      </c>
      <c r="G18" s="36" t="str">
        <f>CONCATENATE(E18,F18)</f>
        <v>MISSIONManpower</v>
      </c>
      <c r="H18" s="60">
        <v>401000</v>
      </c>
      <c r="I18" s="65" t="s">
        <v>564</v>
      </c>
      <c r="J18" s="123">
        <f>SUMIF(EPFL!$A:$A,'Price Table 8 EPFL'!$A18,EPFL!J:J)</f>
        <v>40.152860869565203</v>
      </c>
      <c r="K18" s="123">
        <f>SUMIF(EPFL!$A:$A,'Price Table 8 EPFL'!$A18,EPFL!K:K)</f>
        <v>40.152860869565203</v>
      </c>
      <c r="L18" s="123">
        <f>SUMIF(EPFL!$A:$A,'Price Table 8 EPFL'!$A18,EPFL!L:L)</f>
        <v>40.152860869565203</v>
      </c>
      <c r="M18" s="123">
        <f>SUMIF(EPFL!$A:$A,'Price Table 8 EPFL'!$A18,EPFL!M:M)</f>
        <v>40.152860869565203</v>
      </c>
      <c r="N18" s="123">
        <f>SUMIF(EPFL!$A:$A,'Price Table 8 EPFL'!$A18,EPFL!N:N)</f>
        <v>40.152860869565203</v>
      </c>
      <c r="O18" s="123">
        <f>SUMIF(EPFL!$A:$A,'Price Table 8 EPFL'!$A18,EPFL!O:O)</f>
        <v>40.152860869565203</v>
      </c>
      <c r="P18" s="123">
        <f>SUMIF(EPFL!$A:$A,'Price Table 8 EPFL'!$A18,EPFL!P:P)</f>
        <v>40.152860869565203</v>
      </c>
      <c r="Q18" s="123">
        <f>SUMIF(EPFL!$A:$A,'Price Table 8 EPFL'!$A18,EPFL!Q:Q)</f>
        <v>40.152860869565203</v>
      </c>
      <c r="R18" s="28"/>
      <c r="S18" s="28"/>
      <c r="T18" s="28"/>
      <c r="U18" s="28"/>
      <c r="V18" s="28"/>
      <c r="W18" s="28"/>
      <c r="X18" s="28"/>
      <c r="Y18" s="30"/>
      <c r="Z18" s="29"/>
      <c r="AA18" s="29"/>
      <c r="AB18" s="29"/>
      <c r="AC18" s="29"/>
      <c r="AD18" s="29"/>
      <c r="AE18" s="29"/>
      <c r="AF18" s="29"/>
      <c r="AG18" s="29"/>
      <c r="AH18" s="115">
        <f t="shared" si="0"/>
        <v>321.22288695652156</v>
      </c>
    </row>
    <row r="19" spans="1:36">
      <c r="A19" t="s">
        <v>351</v>
      </c>
      <c r="B19" s="42" t="s">
        <v>565</v>
      </c>
      <c r="C19" s="43"/>
      <c r="D19" s="44"/>
      <c r="E19" s="36" t="s">
        <v>14</v>
      </c>
      <c r="F19" s="36" t="s">
        <v>13</v>
      </c>
      <c r="G19" s="36" t="str">
        <f>CONCATENATE(E19,F19)</f>
        <v>MISSIONManpower</v>
      </c>
      <c r="H19" s="60" t="s">
        <v>638</v>
      </c>
      <c r="I19" t="s">
        <v>567</v>
      </c>
      <c r="J19" s="123">
        <f>SUMIF(EPFL!$A:$A,'Price Table 8 EPFL'!$A19,EPFL!J:J)</f>
        <v>0</v>
      </c>
      <c r="K19" s="123">
        <f>SUMIF(EPFL!$A:$A,'Price Table 8 EPFL'!$A19,EPFL!K:K)</f>
        <v>0</v>
      </c>
      <c r="L19" s="123">
        <f>SUMIF(EPFL!$A:$A,'Price Table 8 EPFL'!$A19,EPFL!L:L)</f>
        <v>0</v>
      </c>
      <c r="M19" s="123">
        <f>SUMIF(EPFL!$A:$A,'Price Table 8 EPFL'!$A19,EPFL!M:M)</f>
        <v>0</v>
      </c>
      <c r="N19" s="123">
        <f>SUMIF(EPFL!$A:$A,'Price Table 8 EPFL'!$A19,EPFL!N:N)</f>
        <v>0</v>
      </c>
      <c r="O19" s="123">
        <f>SUMIF(EPFL!$A:$A,'Price Table 8 EPFL'!$A19,EPFL!O:O)</f>
        <v>0</v>
      </c>
      <c r="P19" s="123">
        <f>SUMIF(EPFL!$A:$A,'Price Table 8 EPFL'!$A19,EPFL!P:P)</f>
        <v>0</v>
      </c>
      <c r="Q19" s="123">
        <f>SUMIF(EPFL!$A:$A,'Price Table 8 EPFL'!$A19,EPFL!Q:Q)</f>
        <v>0</v>
      </c>
      <c r="R19" s="28"/>
      <c r="S19" s="28"/>
      <c r="T19" s="28"/>
      <c r="U19" s="28"/>
      <c r="V19" s="28"/>
      <c r="W19" s="28"/>
      <c r="X19" s="28"/>
      <c r="Y19" s="30"/>
      <c r="Z19" s="28"/>
      <c r="AA19" s="28"/>
      <c r="AB19" s="28"/>
      <c r="AC19" s="28"/>
      <c r="AD19" s="28"/>
      <c r="AE19" s="28"/>
      <c r="AF19" s="28"/>
      <c r="AG19" s="28"/>
      <c r="AH19" s="115">
        <f t="shared" si="0"/>
        <v>0</v>
      </c>
    </row>
    <row r="20" spans="1:36">
      <c r="A20" t="s">
        <v>356</v>
      </c>
      <c r="B20" s="42" t="s">
        <v>568</v>
      </c>
      <c r="C20" s="43"/>
      <c r="D20" s="44"/>
      <c r="E20" s="36" t="s">
        <v>14</v>
      </c>
      <c r="F20" s="36" t="s">
        <v>117</v>
      </c>
      <c r="G20" s="36" t="str">
        <f>CONCATENATE(E20,F20)</f>
        <v>MISSIONProcurement</v>
      </c>
      <c r="H20" s="60">
        <v>510000</v>
      </c>
      <c r="I20" t="s">
        <v>569</v>
      </c>
      <c r="J20" s="123">
        <f>SUMIF(EPFL!$A:$A,'Price Table 8 EPFL'!$A20,EPFL!J:J)</f>
        <v>0</v>
      </c>
      <c r="K20" s="123">
        <f>SUMIF(EPFL!$A:$A,'Price Table 8 EPFL'!$A20,EPFL!K:K)</f>
        <v>0</v>
      </c>
      <c r="L20" s="123">
        <f>SUMIF(EPFL!$A:$A,'Price Table 8 EPFL'!$A20,EPFL!L:L)</f>
        <v>0</v>
      </c>
      <c r="M20" s="123">
        <f>SUMIF(EPFL!$A:$A,'Price Table 8 EPFL'!$A20,EPFL!M:M)</f>
        <v>0</v>
      </c>
      <c r="N20" s="123">
        <f>SUMIF(EPFL!$A:$A,'Price Table 8 EPFL'!$A20,EPFL!N:N)</f>
        <v>0</v>
      </c>
      <c r="O20" s="123">
        <f>SUMIF(EPFL!$A:$A,'Price Table 8 EPFL'!$A20,EPFL!O:O)</f>
        <v>0</v>
      </c>
      <c r="P20" s="123">
        <f>SUMIF(EPFL!$A:$A,'Price Table 8 EPFL'!$A20,EPFL!P:P)</f>
        <v>0</v>
      </c>
      <c r="Q20" s="123">
        <f>SUMIF(EPFL!$A:$A,'Price Table 8 EPFL'!$A20,EPFL!Q:Q)</f>
        <v>0</v>
      </c>
      <c r="R20" s="28"/>
      <c r="S20" s="28"/>
      <c r="T20" s="28"/>
      <c r="U20" s="28"/>
      <c r="V20" s="28"/>
      <c r="W20" s="28"/>
      <c r="X20" s="28"/>
      <c r="Y20" s="30"/>
      <c r="Z20" s="28"/>
      <c r="AA20" s="28"/>
      <c r="AB20" s="28"/>
      <c r="AC20" s="28"/>
      <c r="AD20" s="28"/>
      <c r="AE20" s="28"/>
      <c r="AF20" s="28"/>
      <c r="AG20" s="28"/>
      <c r="AH20" s="115">
        <f t="shared" si="0"/>
        <v>0</v>
      </c>
    </row>
    <row r="21" spans="1:36" s="16" customFormat="1">
      <c r="B21" s="45"/>
      <c r="C21" s="55"/>
      <c r="D21" s="56" t="s">
        <v>562</v>
      </c>
      <c r="E21" s="57"/>
      <c r="F21" s="57"/>
      <c r="G21" s="57"/>
      <c r="H21" s="17"/>
      <c r="J21" s="390"/>
      <c r="K21" s="390"/>
      <c r="L21" s="390"/>
      <c r="M21" s="390"/>
      <c r="N21" s="390"/>
      <c r="O21" s="390"/>
      <c r="P21" s="390"/>
      <c r="Q21" s="390"/>
      <c r="AH21" s="390"/>
    </row>
    <row r="22" spans="1:36">
      <c r="B22" s="46" t="s">
        <v>570</v>
      </c>
      <c r="C22" s="47"/>
      <c r="D22" s="41"/>
      <c r="H22"/>
      <c r="J22" s="115"/>
      <c r="K22" s="115"/>
      <c r="L22" s="115"/>
      <c r="M22" s="115"/>
      <c r="N22" s="115"/>
      <c r="O22" s="115"/>
      <c r="P22" s="115"/>
      <c r="Q22" s="115"/>
    </row>
    <row r="23" spans="1:36">
      <c r="B23" s="48" t="s">
        <v>571</v>
      </c>
      <c r="C23" s="49"/>
      <c r="D23" s="50"/>
      <c r="H23"/>
      <c r="J23" s="115"/>
      <c r="K23" s="115"/>
      <c r="L23" s="115"/>
      <c r="M23" s="115"/>
      <c r="N23" s="115"/>
      <c r="O23" s="115"/>
      <c r="P23" s="115"/>
      <c r="Q23" s="115"/>
    </row>
    <row r="24" spans="1:36">
      <c r="A24" t="s">
        <v>160</v>
      </c>
      <c r="B24" s="393" t="s">
        <v>572</v>
      </c>
      <c r="C24" s="394"/>
      <c r="D24" s="395"/>
      <c r="E24" s="36" t="s">
        <v>139</v>
      </c>
      <c r="F24" s="36" t="s">
        <v>13</v>
      </c>
      <c r="G24" s="36" t="str">
        <f>CONCATENATE(E24,F24)</f>
        <v>TECHManpower</v>
      </c>
      <c r="H24" s="16">
        <v>410000</v>
      </c>
      <c r="J24" s="401">
        <f>SUMIF(EPFL!$A:$A,'Price Table 8 EPFL'!$A24,EPFL!J:J)</f>
        <v>0</v>
      </c>
      <c r="K24" s="401">
        <f>SUMIF(EPFL!$A:$A,'Price Table 8 EPFL'!$A24,EPFL!K:K)</f>
        <v>0</v>
      </c>
      <c r="L24" s="401">
        <f>SUMIF(EPFL!$A:$A,'Price Table 8 EPFL'!$A24,EPFL!L:L)</f>
        <v>0</v>
      </c>
      <c r="M24" s="401">
        <f>SUMIF(EPFL!$A:$A,'Price Table 8 EPFL'!$A24,EPFL!M:M)</f>
        <v>0</v>
      </c>
      <c r="N24" s="401">
        <f>SUMIF(EPFL!$A:$A,'Price Table 8 EPFL'!$A24,EPFL!N:N)</f>
        <v>0</v>
      </c>
      <c r="O24" s="401">
        <f>SUMIF(EPFL!$A:$A,'Price Table 8 EPFL'!$A24,EPFL!O:O)</f>
        <v>0</v>
      </c>
      <c r="P24" s="401">
        <f>SUMIF(EPFL!$A:$A,'Price Table 8 EPFL'!$A24,EPFL!P:P)</f>
        <v>0</v>
      </c>
      <c r="Q24" s="401">
        <f>SUMIF(EPFL!$A:$A,'Price Table 8 EPFL'!$A24,EPFL!Q:Q)</f>
        <v>0</v>
      </c>
      <c r="R24" s="28"/>
      <c r="S24" s="28"/>
      <c r="T24" s="28"/>
      <c r="U24" s="28"/>
      <c r="V24" s="28"/>
      <c r="W24" s="28"/>
      <c r="X24" s="28"/>
      <c r="Y24" s="29"/>
      <c r="Z24" s="28"/>
      <c r="AA24" s="28"/>
      <c r="AB24" s="28"/>
      <c r="AC24" s="28"/>
      <c r="AD24" s="28"/>
      <c r="AE24" s="28"/>
      <c r="AF24" s="28"/>
      <c r="AG24" s="28"/>
      <c r="AH24" s="403">
        <f t="shared" si="0"/>
        <v>0</v>
      </c>
    </row>
    <row r="25" spans="1:36">
      <c r="A25" t="s">
        <v>573</v>
      </c>
      <c r="B25" s="393" t="s">
        <v>574</v>
      </c>
      <c r="C25" s="394"/>
      <c r="D25" s="395"/>
      <c r="E25" s="36" t="s">
        <v>14</v>
      </c>
      <c r="F25" s="36" t="s">
        <v>13</v>
      </c>
      <c r="G25" s="36" t="str">
        <f>CONCATENATE(E25,F25)</f>
        <v>MISSIONManpower</v>
      </c>
      <c r="H25" s="17" t="s">
        <v>639</v>
      </c>
      <c r="J25" s="401">
        <f>SUMIF(EPFL!$A:$A,'Price Table 8 EPFL'!$A25,EPFL!J:J)</f>
        <v>0</v>
      </c>
      <c r="K25" s="401">
        <f>SUMIF(EPFL!$A:$A,'Price Table 8 EPFL'!$A25,EPFL!K:K)</f>
        <v>0</v>
      </c>
      <c r="L25" s="401">
        <f>SUMIF(EPFL!$A:$A,'Price Table 8 EPFL'!$A25,EPFL!L:L)</f>
        <v>0</v>
      </c>
      <c r="M25" s="401">
        <f>SUMIF(EPFL!$A:$A,'Price Table 8 EPFL'!$A25,EPFL!M:M)</f>
        <v>0</v>
      </c>
      <c r="N25" s="401">
        <f>SUMIF(EPFL!$A:$A,'Price Table 8 EPFL'!$A25,EPFL!N:N)</f>
        <v>0</v>
      </c>
      <c r="O25" s="401">
        <f>SUMIF(EPFL!$A:$A,'Price Table 8 EPFL'!$A25,EPFL!O:O)</f>
        <v>0</v>
      </c>
      <c r="P25" s="401">
        <f>SUMIF(EPFL!$A:$A,'Price Table 8 EPFL'!$A25,EPFL!P:P)</f>
        <v>0</v>
      </c>
      <c r="Q25" s="401">
        <f>SUMIF(EPFL!$A:$A,'Price Table 8 EPFL'!$A25,EPFL!Q:Q)</f>
        <v>0</v>
      </c>
      <c r="R25" s="28"/>
      <c r="S25" s="28"/>
      <c r="T25" s="28"/>
      <c r="U25" s="28"/>
      <c r="V25" s="28"/>
      <c r="W25" s="28"/>
      <c r="X25" s="28"/>
      <c r="Y25" s="31"/>
      <c r="Z25" s="28"/>
      <c r="AA25" s="28"/>
      <c r="AB25" s="28"/>
      <c r="AC25" s="28"/>
      <c r="AD25" s="28"/>
      <c r="AE25" s="28"/>
      <c r="AF25" s="28"/>
      <c r="AG25" s="28"/>
      <c r="AH25" s="403">
        <f t="shared" si="0"/>
        <v>0</v>
      </c>
    </row>
    <row r="26" spans="1:36" s="16" customFormat="1">
      <c r="B26" s="396"/>
      <c r="C26" s="397"/>
      <c r="D26" s="398" t="s">
        <v>562</v>
      </c>
      <c r="E26" s="57"/>
      <c r="F26" s="57"/>
      <c r="G26" s="57"/>
      <c r="H26" s="17"/>
      <c r="J26" s="402"/>
      <c r="K26" s="402"/>
      <c r="L26" s="402"/>
      <c r="M26" s="402"/>
      <c r="N26" s="402"/>
      <c r="O26" s="402"/>
      <c r="P26" s="402"/>
      <c r="Q26" s="402"/>
      <c r="AH26" s="402"/>
    </row>
    <row r="27" spans="1:36">
      <c r="B27" s="399" t="s">
        <v>575</v>
      </c>
      <c r="C27" s="400"/>
      <c r="D27" s="395"/>
      <c r="H27"/>
      <c r="J27" s="403"/>
      <c r="K27" s="403"/>
      <c r="L27" s="403"/>
      <c r="M27" s="403"/>
      <c r="N27" s="403"/>
      <c r="O27" s="403"/>
      <c r="P27" s="403"/>
      <c r="Q27" s="403"/>
      <c r="AH27" s="403"/>
    </row>
    <row r="28" spans="1:36">
      <c r="A28" t="s">
        <v>180</v>
      </c>
      <c r="B28" s="393" t="s">
        <v>576</v>
      </c>
      <c r="C28" s="400"/>
      <c r="D28" s="395"/>
      <c r="E28" s="37" t="s">
        <v>14</v>
      </c>
      <c r="F28" s="36" t="s">
        <v>13</v>
      </c>
      <c r="G28" s="36" t="str">
        <f>CONCATENATE(E28,F28)</f>
        <v>MISSIONManpower</v>
      </c>
      <c r="H28" s="61">
        <v>430000</v>
      </c>
      <c r="I28" s="74" t="s">
        <v>577</v>
      </c>
      <c r="J28" s="401">
        <f>SUMIF(EPFL!$A:$A,'Price Table 8 EPFL'!$A28,EPFL!J:J)</f>
        <v>0</v>
      </c>
      <c r="K28" s="401">
        <f>SUMIF(EPFL!$A:$A,'Price Table 8 EPFL'!$A28,EPFL!K:K)</f>
        <v>0</v>
      </c>
      <c r="L28" s="401">
        <f>SUMIF(EPFL!$A:$A,'Price Table 8 EPFL'!$A28,EPFL!L:L)</f>
        <v>0</v>
      </c>
      <c r="M28" s="401">
        <f>SUMIF(EPFL!$A:$A,'Price Table 8 EPFL'!$A28,EPFL!M:M)</f>
        <v>0</v>
      </c>
      <c r="N28" s="401">
        <f>SUMIF(EPFL!$A:$A,'Price Table 8 EPFL'!$A28,EPFL!N:N)</f>
        <v>0</v>
      </c>
      <c r="O28" s="401">
        <f>SUMIF(EPFL!$A:$A,'Price Table 8 EPFL'!$A28,EPFL!O:O)</f>
        <v>0</v>
      </c>
      <c r="P28" s="401">
        <f>SUMIF(EPFL!$A:$A,'Price Table 8 EPFL'!$A28,EPFL!P:P)</f>
        <v>0</v>
      </c>
      <c r="Q28" s="401">
        <f>SUMIF(EPFL!$A:$A,'Price Table 8 EPFL'!$A28,EPFL!Q:Q)</f>
        <v>0</v>
      </c>
      <c r="R28" s="28"/>
      <c r="S28" s="28"/>
      <c r="T28" s="28"/>
      <c r="U28" s="28"/>
      <c r="V28" s="28"/>
      <c r="W28" s="28"/>
      <c r="X28" s="28"/>
      <c r="Y28" s="32"/>
      <c r="Z28" s="28"/>
      <c r="AA28" s="28"/>
      <c r="AB28" s="28"/>
      <c r="AC28" s="28"/>
      <c r="AD28" s="28"/>
      <c r="AE28" s="28"/>
      <c r="AF28" s="28"/>
      <c r="AG28" s="28"/>
      <c r="AH28" s="403">
        <f t="shared" si="0"/>
        <v>0</v>
      </c>
    </row>
    <row r="29" spans="1:36">
      <c r="A29" t="s">
        <v>578</v>
      </c>
      <c r="B29" s="393" t="s">
        <v>579</v>
      </c>
      <c r="C29" s="400"/>
      <c r="D29" s="395"/>
      <c r="E29" s="37" t="s">
        <v>14</v>
      </c>
      <c r="F29" s="36" t="s">
        <v>117</v>
      </c>
      <c r="G29" s="36" t="str">
        <f>CONCATENATE(E29,F29)</f>
        <v>MISSIONProcurement</v>
      </c>
      <c r="H29" s="16">
        <v>430000</v>
      </c>
      <c r="I29" s="74" t="s">
        <v>577</v>
      </c>
      <c r="J29" s="401">
        <f>SUMIF(EPFL!$A:$A,'Price Table 8 EPFL'!$A29,EPFL!J:J)</f>
        <v>0</v>
      </c>
      <c r="K29" s="401">
        <f>SUMIF(EPFL!$A:$A,'Price Table 8 EPFL'!$A29,EPFL!K:K)</f>
        <v>0</v>
      </c>
      <c r="L29" s="401">
        <f>SUMIF(EPFL!$A:$A,'Price Table 8 EPFL'!$A29,EPFL!L:L)</f>
        <v>0</v>
      </c>
      <c r="M29" s="401">
        <f>SUMIF(EPFL!$A:$A,'Price Table 8 EPFL'!$A29,EPFL!M:M)</f>
        <v>0</v>
      </c>
      <c r="N29" s="401">
        <f>SUMIF(EPFL!$A:$A,'Price Table 8 EPFL'!$A29,EPFL!N:N)</f>
        <v>0</v>
      </c>
      <c r="O29" s="401">
        <f>SUMIF(EPFL!$A:$A,'Price Table 8 EPFL'!$A29,EPFL!O:O)</f>
        <v>0</v>
      </c>
      <c r="P29" s="401">
        <f>SUMIF(EPFL!$A:$A,'Price Table 8 EPFL'!$A29,EPFL!P:P)</f>
        <v>0</v>
      </c>
      <c r="Q29" s="401">
        <f>SUMIF(EPFL!$A:$A,'Price Table 8 EPFL'!$A29,EPFL!Q:Q)</f>
        <v>0</v>
      </c>
      <c r="R29" s="28"/>
      <c r="S29" s="28"/>
      <c r="T29" s="28"/>
      <c r="U29" s="28"/>
      <c r="V29" s="28"/>
      <c r="W29" s="28"/>
      <c r="X29" s="28"/>
      <c r="Y29" s="29"/>
      <c r="Z29" s="28"/>
      <c r="AA29" s="28"/>
      <c r="AB29" s="28"/>
      <c r="AC29" s="28"/>
      <c r="AD29" s="28"/>
      <c r="AE29" s="28"/>
      <c r="AF29" s="28"/>
      <c r="AG29" s="28"/>
      <c r="AH29" s="403">
        <f t="shared" si="0"/>
        <v>0</v>
      </c>
    </row>
    <row r="30" spans="1:36" s="16" customFormat="1">
      <c r="B30" s="396"/>
      <c r="C30" s="397"/>
      <c r="D30" s="398" t="s">
        <v>562</v>
      </c>
      <c r="E30" s="57"/>
      <c r="F30" s="57"/>
      <c r="G30" s="57"/>
      <c r="H30" s="17"/>
      <c r="J30" s="402"/>
      <c r="K30" s="402"/>
      <c r="L30" s="402"/>
      <c r="M30" s="402"/>
      <c r="N30" s="402"/>
      <c r="O30" s="402"/>
      <c r="P30" s="402"/>
      <c r="Q30" s="402"/>
      <c r="AH30" s="402"/>
    </row>
    <row r="31" spans="1:36">
      <c r="B31" s="48" t="s">
        <v>580</v>
      </c>
      <c r="C31" s="52"/>
      <c r="D31" s="50"/>
      <c r="E31" s="37"/>
      <c r="F31" s="37"/>
      <c r="G31" s="37"/>
      <c r="H31" s="62"/>
      <c r="I31" s="18"/>
      <c r="J31" s="404"/>
      <c r="K31" s="404"/>
      <c r="L31" s="404"/>
      <c r="M31" s="404"/>
      <c r="N31" s="404"/>
      <c r="O31" s="404"/>
      <c r="P31" s="404"/>
      <c r="Q31" s="404"/>
      <c r="R31" s="18"/>
      <c r="S31" s="18"/>
      <c r="T31" s="18"/>
      <c r="U31" s="18"/>
      <c r="V31" s="18"/>
      <c r="W31" s="18"/>
      <c r="X31" s="18"/>
      <c r="Y31" s="18"/>
      <c r="Z31" s="18"/>
      <c r="AA31" s="18"/>
      <c r="AB31" s="18"/>
      <c r="AC31" s="18"/>
      <c r="AD31" s="18"/>
      <c r="AE31" s="18"/>
      <c r="AF31" s="18"/>
      <c r="AG31" s="18"/>
      <c r="AH31" s="404"/>
      <c r="AI31" s="18"/>
      <c r="AJ31" s="18"/>
    </row>
    <row r="32" spans="1:36">
      <c r="A32" t="s">
        <v>173</v>
      </c>
      <c r="B32" s="51" t="s">
        <v>581</v>
      </c>
      <c r="C32" s="53"/>
      <c r="D32" s="44"/>
      <c r="E32" s="37" t="s">
        <v>14</v>
      </c>
      <c r="F32" s="36" t="s">
        <v>13</v>
      </c>
      <c r="G32" s="36" t="str">
        <f>CONCATENATE(E32,F32)</f>
        <v>MISSIONManpower</v>
      </c>
      <c r="H32" s="61">
        <v>420000</v>
      </c>
      <c r="I32" s="74" t="s">
        <v>577</v>
      </c>
      <c r="J32" s="123">
        <f>SUMIF(EPFL!$A:$A,'Price Table 8 EPFL'!$A32,EPFL!J:J)</f>
        <v>0</v>
      </c>
      <c r="K32" s="123">
        <f>SUMIF(EPFL!$A:$A,'Price Table 8 EPFL'!$A32,EPFL!K:K)</f>
        <v>0</v>
      </c>
      <c r="L32" s="123">
        <f>SUMIF(EPFL!$A:$A,'Price Table 8 EPFL'!$A32,EPFL!L:L)</f>
        <v>0</v>
      </c>
      <c r="M32" s="123">
        <f>SUMIF(EPFL!$A:$A,'Price Table 8 EPFL'!$A32,EPFL!M:M)</f>
        <v>0</v>
      </c>
      <c r="N32" s="123">
        <f>SUMIF(EPFL!$A:$A,'Price Table 8 EPFL'!$A32,EPFL!N:N)</f>
        <v>0</v>
      </c>
      <c r="O32" s="123">
        <f>SUMIF(EPFL!$A:$A,'Price Table 8 EPFL'!$A32,EPFL!O:O)</f>
        <v>0</v>
      </c>
      <c r="P32" s="123">
        <f>SUMIF(EPFL!$A:$A,'Price Table 8 EPFL'!$A32,EPFL!P:P)</f>
        <v>0</v>
      </c>
      <c r="Q32" s="123">
        <f>SUMIF(EPFL!$A:$A,'Price Table 8 EPFL'!$A32,EPFL!Q:Q)</f>
        <v>0</v>
      </c>
      <c r="R32" s="28"/>
      <c r="S32" s="28"/>
      <c r="T32" s="28"/>
      <c r="U32" s="28"/>
      <c r="V32" s="28"/>
      <c r="W32" s="28"/>
      <c r="X32" s="28"/>
      <c r="Y32" s="32"/>
      <c r="Z32" s="28"/>
      <c r="AA32" s="28"/>
      <c r="AB32" s="28"/>
      <c r="AC32" s="28"/>
      <c r="AD32" s="28"/>
      <c r="AE32" s="28"/>
      <c r="AF32" s="28"/>
      <c r="AG32" s="28"/>
      <c r="AH32" s="115">
        <f t="shared" si="0"/>
        <v>0</v>
      </c>
    </row>
    <row r="33" spans="1:34">
      <c r="A33" t="s">
        <v>582</v>
      </c>
      <c r="B33" s="51" t="s">
        <v>583</v>
      </c>
      <c r="C33" s="53"/>
      <c r="D33" s="44"/>
      <c r="E33" s="37" t="s">
        <v>14</v>
      </c>
      <c r="F33" s="36" t="s">
        <v>117</v>
      </c>
      <c r="G33" s="36" t="str">
        <f>CONCATENATE(E33,F33)</f>
        <v>MISSIONProcurement</v>
      </c>
      <c r="H33" s="61">
        <v>420000</v>
      </c>
      <c r="I33" s="74" t="s">
        <v>577</v>
      </c>
      <c r="J33" s="123">
        <f>SUMIF(EPFL!$A:$A,'Price Table 8 EPFL'!$A33,EPFL!J:J)</f>
        <v>0</v>
      </c>
      <c r="K33" s="123">
        <f>SUMIF(EPFL!$A:$A,'Price Table 8 EPFL'!$A33,EPFL!K:K)</f>
        <v>0</v>
      </c>
      <c r="L33" s="123">
        <f>SUMIF(EPFL!$A:$A,'Price Table 8 EPFL'!$A33,EPFL!L:L)</f>
        <v>0</v>
      </c>
      <c r="M33" s="123">
        <f>SUMIF(EPFL!$A:$A,'Price Table 8 EPFL'!$A33,EPFL!M:M)</f>
        <v>0</v>
      </c>
      <c r="N33" s="123">
        <f>SUMIF(EPFL!$A:$A,'Price Table 8 EPFL'!$A33,EPFL!N:N)</f>
        <v>0</v>
      </c>
      <c r="O33" s="123">
        <f>SUMIF(EPFL!$A:$A,'Price Table 8 EPFL'!$A33,EPFL!O:O)</f>
        <v>0</v>
      </c>
      <c r="P33" s="123">
        <f>SUMIF(EPFL!$A:$A,'Price Table 8 EPFL'!$A33,EPFL!P:P)</f>
        <v>0</v>
      </c>
      <c r="Q33" s="123">
        <f>SUMIF(EPFL!$A:$A,'Price Table 8 EPFL'!$A33,EPFL!Q:Q)</f>
        <v>0</v>
      </c>
      <c r="R33" s="28"/>
      <c r="S33" s="28"/>
      <c r="T33" s="28"/>
      <c r="U33" s="28"/>
      <c r="V33" s="28"/>
      <c r="W33" s="28"/>
      <c r="X33" s="28"/>
      <c r="Y33" s="32"/>
      <c r="Z33" s="28"/>
      <c r="AA33" s="28"/>
      <c r="AB33" s="28"/>
      <c r="AC33" s="28"/>
      <c r="AD33" s="28"/>
      <c r="AE33" s="28"/>
      <c r="AF33" s="28"/>
      <c r="AG33" s="28"/>
      <c r="AH33" s="115">
        <f t="shared" si="0"/>
        <v>0</v>
      </c>
    </row>
    <row r="34" spans="1:34" s="16" customFormat="1">
      <c r="B34" s="45"/>
      <c r="C34" s="55"/>
      <c r="D34" s="56" t="s">
        <v>562</v>
      </c>
      <c r="E34" s="57"/>
      <c r="F34" s="57"/>
      <c r="G34" s="57"/>
      <c r="H34" s="17"/>
      <c r="J34" s="390"/>
      <c r="K34" s="390"/>
      <c r="L34" s="390"/>
      <c r="M34" s="390"/>
      <c r="N34" s="390"/>
      <c r="O34" s="390"/>
      <c r="P34" s="390"/>
      <c r="Q34" s="390"/>
      <c r="AH34" s="390"/>
    </row>
    <row r="35" spans="1:34">
      <c r="B35" s="48" t="s">
        <v>584</v>
      </c>
      <c r="C35" s="52"/>
      <c r="D35" s="50"/>
      <c r="H35"/>
      <c r="J35" s="115"/>
      <c r="K35" s="115"/>
      <c r="L35" s="115"/>
      <c r="M35" s="115"/>
      <c r="N35" s="115"/>
      <c r="O35" s="115"/>
      <c r="P35" s="115"/>
      <c r="Q35" s="115"/>
    </row>
    <row r="36" spans="1:34">
      <c r="A36" t="s">
        <v>187</v>
      </c>
      <c r="B36" s="51" t="s">
        <v>585</v>
      </c>
      <c r="C36" s="53"/>
      <c r="D36" s="44"/>
      <c r="E36" s="37" t="s">
        <v>14</v>
      </c>
      <c r="F36" s="36" t="s">
        <v>13</v>
      </c>
      <c r="G36" s="36" t="str">
        <f>CONCATENATE(E36,F36)</f>
        <v>MISSIONManpower</v>
      </c>
      <c r="H36" s="61">
        <v>440000</v>
      </c>
      <c r="I36" t="s">
        <v>586</v>
      </c>
      <c r="J36" s="123">
        <f>SUMIF(EPFL!$A:$A,'Price Table 8 EPFL'!$A36,EPFL!J:J)</f>
        <v>0</v>
      </c>
      <c r="K36" s="123">
        <f>SUMIF(EPFL!$A:$A,'Price Table 8 EPFL'!$A36,EPFL!K:K)</f>
        <v>0</v>
      </c>
      <c r="L36" s="123">
        <f>SUMIF(EPFL!$A:$A,'Price Table 8 EPFL'!$A36,EPFL!L:L)</f>
        <v>0</v>
      </c>
      <c r="M36" s="123">
        <f>SUMIF(EPFL!$A:$A,'Price Table 8 EPFL'!$A36,EPFL!M:M)</f>
        <v>0</v>
      </c>
      <c r="N36" s="123">
        <f>SUMIF(EPFL!$A:$A,'Price Table 8 EPFL'!$A36,EPFL!N:N)</f>
        <v>0</v>
      </c>
      <c r="O36" s="123">
        <f>SUMIF(EPFL!$A:$A,'Price Table 8 EPFL'!$A36,EPFL!O:O)</f>
        <v>0</v>
      </c>
      <c r="P36" s="123">
        <f>SUMIF(EPFL!$A:$A,'Price Table 8 EPFL'!$A36,EPFL!P:P)</f>
        <v>0</v>
      </c>
      <c r="Q36" s="123">
        <f>SUMIF(EPFL!$A:$A,'Price Table 8 EPFL'!$A36,EPFL!Q:Q)</f>
        <v>0</v>
      </c>
      <c r="R36" s="28"/>
      <c r="S36" s="28"/>
      <c r="T36" s="28"/>
      <c r="U36" s="28"/>
      <c r="V36" s="28"/>
      <c r="W36" s="28"/>
      <c r="X36" s="28"/>
      <c r="Y36" s="32"/>
      <c r="Z36" s="28"/>
      <c r="AA36" s="28"/>
      <c r="AB36" s="28"/>
      <c r="AC36" s="28"/>
      <c r="AD36" s="28"/>
      <c r="AE36" s="28"/>
      <c r="AF36" s="28"/>
      <c r="AG36" s="28"/>
      <c r="AH36" s="115">
        <f t="shared" si="0"/>
        <v>0</v>
      </c>
    </row>
    <row r="37" spans="1:34">
      <c r="A37" t="s">
        <v>587</v>
      </c>
      <c r="B37" s="51" t="s">
        <v>588</v>
      </c>
      <c r="C37" s="53"/>
      <c r="D37" s="44"/>
      <c r="E37" s="37" t="s">
        <v>14</v>
      </c>
      <c r="F37" s="36" t="s">
        <v>117</v>
      </c>
      <c r="G37" s="36" t="str">
        <f>CONCATENATE(E37,F37)</f>
        <v>MISSIONProcurement</v>
      </c>
      <c r="H37"/>
      <c r="J37" s="123">
        <f>SUMIF(EPFL!$A:$A,'Price Table 8 EPFL'!$A37,EPFL!J:J)</f>
        <v>0</v>
      </c>
      <c r="K37" s="123">
        <f>SUMIF(EPFL!$A:$A,'Price Table 8 EPFL'!$A37,EPFL!K:K)</f>
        <v>0</v>
      </c>
      <c r="L37" s="123">
        <f>SUMIF(EPFL!$A:$A,'Price Table 8 EPFL'!$A37,EPFL!L:L)</f>
        <v>0</v>
      </c>
      <c r="M37" s="123">
        <f>SUMIF(EPFL!$A:$A,'Price Table 8 EPFL'!$A37,EPFL!M:M)</f>
        <v>0</v>
      </c>
      <c r="N37" s="123">
        <f>SUMIF(EPFL!$A:$A,'Price Table 8 EPFL'!$A37,EPFL!N:N)</f>
        <v>0</v>
      </c>
      <c r="O37" s="123">
        <f>SUMIF(EPFL!$A:$A,'Price Table 8 EPFL'!$A37,EPFL!O:O)</f>
        <v>0</v>
      </c>
      <c r="P37" s="123">
        <f>SUMIF(EPFL!$A:$A,'Price Table 8 EPFL'!$A37,EPFL!P:P)</f>
        <v>0</v>
      </c>
      <c r="Q37" s="123">
        <f>SUMIF(EPFL!$A:$A,'Price Table 8 EPFL'!$A37,EPFL!Q:Q)</f>
        <v>0</v>
      </c>
      <c r="R37" s="28"/>
      <c r="S37" s="28"/>
      <c r="T37" s="28"/>
      <c r="U37" s="28"/>
      <c r="V37" s="28"/>
      <c r="W37" s="28"/>
      <c r="X37" s="28"/>
      <c r="Y37" s="28"/>
      <c r="Z37" s="28"/>
      <c r="AA37" s="28"/>
      <c r="AB37" s="28"/>
      <c r="AC37" s="28"/>
      <c r="AD37" s="28"/>
      <c r="AE37" s="28"/>
      <c r="AF37" s="28"/>
      <c r="AG37" s="28"/>
      <c r="AH37" s="115">
        <f t="shared" si="0"/>
        <v>0</v>
      </c>
    </row>
    <row r="38" spans="1:34" s="16" customFormat="1">
      <c r="B38" s="45"/>
      <c r="C38" s="55"/>
      <c r="D38" s="56" t="s">
        <v>562</v>
      </c>
      <c r="E38" s="57"/>
      <c r="F38" s="57"/>
      <c r="G38" s="57"/>
      <c r="H38" s="17"/>
      <c r="J38" s="390"/>
      <c r="K38" s="390"/>
      <c r="L38" s="390"/>
      <c r="M38" s="390"/>
      <c r="N38" s="390"/>
      <c r="O38" s="390"/>
      <c r="P38" s="390"/>
      <c r="Q38" s="390"/>
      <c r="AH38" s="390"/>
    </row>
    <row r="39" spans="1:34">
      <c r="B39" s="48" t="s">
        <v>589</v>
      </c>
      <c r="C39" s="49"/>
      <c r="D39" s="50"/>
      <c r="H39"/>
      <c r="J39" s="115"/>
      <c r="K39" s="115"/>
      <c r="L39" s="115"/>
      <c r="M39" s="115"/>
      <c r="N39" s="115"/>
      <c r="O39" s="115"/>
      <c r="P39" s="115"/>
      <c r="Q39" s="115"/>
    </row>
    <row r="40" spans="1:34">
      <c r="A40" t="s">
        <v>204</v>
      </c>
      <c r="B40" s="51" t="s">
        <v>590</v>
      </c>
      <c r="C40" s="53"/>
      <c r="D40" s="44"/>
      <c r="E40" s="36" t="s">
        <v>14</v>
      </c>
      <c r="F40" s="36" t="s">
        <v>13</v>
      </c>
      <c r="G40" s="36" t="str">
        <f>CONCATENATE(E40,F40)</f>
        <v>MISSIONManpower</v>
      </c>
      <c r="H40" s="61">
        <v>450000</v>
      </c>
      <c r="I40" s="66" t="s">
        <v>591</v>
      </c>
      <c r="J40" s="123">
        <f>SUMIF(EPFL!$A:$A,'Price Table 8 EPFL'!$A40,EPFL!J:J)</f>
        <v>0</v>
      </c>
      <c r="K40" s="123">
        <f>SUMIF(EPFL!$A:$A,'Price Table 8 EPFL'!$A40,EPFL!K:K)</f>
        <v>0</v>
      </c>
      <c r="L40" s="123">
        <f>SUMIF(EPFL!$A:$A,'Price Table 8 EPFL'!$A40,EPFL!L:L)</f>
        <v>0</v>
      </c>
      <c r="M40" s="123">
        <f>SUMIF(EPFL!$A:$A,'Price Table 8 EPFL'!$A40,EPFL!M:M)</f>
        <v>0</v>
      </c>
      <c r="N40" s="123">
        <f>SUMIF(EPFL!$A:$A,'Price Table 8 EPFL'!$A40,EPFL!N:N)</f>
        <v>0</v>
      </c>
      <c r="O40" s="123">
        <f>SUMIF(EPFL!$A:$A,'Price Table 8 EPFL'!$A40,EPFL!O:O)</f>
        <v>0</v>
      </c>
      <c r="P40" s="123">
        <f>SUMIF(EPFL!$A:$A,'Price Table 8 EPFL'!$A40,EPFL!P:P)</f>
        <v>0</v>
      </c>
      <c r="Q40" s="123">
        <f>SUMIF(EPFL!$A:$A,'Price Table 8 EPFL'!$A40,EPFL!Q:Q)</f>
        <v>0</v>
      </c>
      <c r="R40" s="28"/>
      <c r="S40" s="28"/>
      <c r="T40" s="28"/>
      <c r="U40" s="28"/>
      <c r="V40" s="28"/>
      <c r="W40" s="28"/>
      <c r="X40" s="28"/>
      <c r="Y40" s="32"/>
      <c r="Z40" s="28"/>
      <c r="AA40" s="28"/>
      <c r="AB40" s="28"/>
      <c r="AC40" s="28"/>
      <c r="AD40" s="28"/>
      <c r="AE40" s="28"/>
      <c r="AF40" s="28"/>
      <c r="AG40" s="28"/>
      <c r="AH40" s="115">
        <f t="shared" si="0"/>
        <v>0</v>
      </c>
    </row>
    <row r="41" spans="1:34">
      <c r="A41" t="s">
        <v>592</v>
      </c>
      <c r="B41" s="51" t="s">
        <v>593</v>
      </c>
      <c r="C41" s="53"/>
      <c r="D41" s="44"/>
      <c r="E41" s="36" t="s">
        <v>14</v>
      </c>
      <c r="F41" s="36" t="s">
        <v>117</v>
      </c>
      <c r="G41" s="36" t="str">
        <f>CONCATENATE(E41,F41)</f>
        <v>MISSIONProcurement</v>
      </c>
      <c r="H41"/>
      <c r="J41" s="123">
        <f>SUMIF(EPFL!$A:$A,'Price Table 8 EPFL'!$A41,EPFL!J:J)</f>
        <v>0</v>
      </c>
      <c r="K41" s="123">
        <f>SUMIF(EPFL!$A:$A,'Price Table 8 EPFL'!$A41,EPFL!K:K)</f>
        <v>0</v>
      </c>
      <c r="L41" s="123">
        <f>SUMIF(EPFL!$A:$A,'Price Table 8 EPFL'!$A41,EPFL!L:L)</f>
        <v>0</v>
      </c>
      <c r="M41" s="123">
        <f>SUMIF(EPFL!$A:$A,'Price Table 8 EPFL'!$A41,EPFL!M:M)</f>
        <v>0</v>
      </c>
      <c r="N41" s="123">
        <f>SUMIF(EPFL!$A:$A,'Price Table 8 EPFL'!$A41,EPFL!N:N)</f>
        <v>0</v>
      </c>
      <c r="O41" s="123">
        <f>SUMIF(EPFL!$A:$A,'Price Table 8 EPFL'!$A41,EPFL!O:O)</f>
        <v>0</v>
      </c>
      <c r="P41" s="123">
        <f>SUMIF(EPFL!$A:$A,'Price Table 8 EPFL'!$A41,EPFL!P:P)</f>
        <v>0</v>
      </c>
      <c r="Q41" s="123">
        <f>SUMIF(EPFL!$A:$A,'Price Table 8 EPFL'!$A41,EPFL!Q:Q)</f>
        <v>0</v>
      </c>
      <c r="R41" s="28"/>
      <c r="S41" s="28"/>
      <c r="T41" s="28"/>
      <c r="U41" s="28"/>
      <c r="V41" s="28"/>
      <c r="W41" s="28"/>
      <c r="X41" s="28"/>
      <c r="Y41" s="28"/>
      <c r="Z41" s="28"/>
      <c r="AA41" s="28"/>
      <c r="AB41" s="28"/>
      <c r="AC41" s="28"/>
      <c r="AD41" s="28"/>
      <c r="AE41" s="28"/>
      <c r="AF41" s="28"/>
      <c r="AG41" s="28"/>
      <c r="AH41" s="115">
        <f t="shared" si="0"/>
        <v>0</v>
      </c>
    </row>
    <row r="42" spans="1:34" s="16" customFormat="1">
      <c r="B42" s="45"/>
      <c r="C42" s="55"/>
      <c r="D42" s="56" t="s">
        <v>562</v>
      </c>
      <c r="E42" s="57"/>
      <c r="F42" s="57"/>
      <c r="G42" s="57"/>
      <c r="H42" s="17"/>
      <c r="J42" s="390"/>
      <c r="K42" s="390"/>
      <c r="L42" s="390"/>
      <c r="M42" s="390"/>
      <c r="N42" s="390"/>
      <c r="O42" s="390"/>
      <c r="P42" s="390"/>
      <c r="Q42" s="390"/>
      <c r="AH42" s="390"/>
    </row>
    <row r="43" spans="1:34">
      <c r="B43" s="48" t="s">
        <v>157</v>
      </c>
      <c r="C43" s="52"/>
      <c r="D43" s="50"/>
      <c r="H43"/>
      <c r="J43" s="115"/>
      <c r="K43" s="115"/>
      <c r="L43" s="115"/>
      <c r="M43" s="115"/>
      <c r="N43" s="115"/>
      <c r="O43" s="115"/>
      <c r="P43" s="115"/>
      <c r="Q43" s="115"/>
    </row>
    <row r="44" spans="1:34">
      <c r="A44" t="s">
        <v>275</v>
      </c>
      <c r="B44" s="51" t="s">
        <v>594</v>
      </c>
      <c r="C44" s="53"/>
      <c r="D44" s="44"/>
      <c r="E44" s="37" t="s">
        <v>14</v>
      </c>
      <c r="F44" s="36" t="s">
        <v>13</v>
      </c>
      <c r="G44" s="36" t="str">
        <f>CONCATENATE(E44,F44)</f>
        <v>MISSIONManpower</v>
      </c>
      <c r="H44" s="16">
        <v>470000</v>
      </c>
      <c r="I44" t="s">
        <v>595</v>
      </c>
      <c r="J44" s="123">
        <f>SUMIF(EPFL!$A:$A,'Price Table 8 EPFL'!$A44,EPFL!J:J)</f>
        <v>0</v>
      </c>
      <c r="K44" s="123">
        <f>SUMIF(EPFL!$A:$A,'Price Table 8 EPFL'!$A44,EPFL!K:K)</f>
        <v>0</v>
      </c>
      <c r="L44" s="123">
        <f>SUMIF(EPFL!$A:$A,'Price Table 8 EPFL'!$A44,EPFL!L:L)</f>
        <v>0</v>
      </c>
      <c r="M44" s="123">
        <f>SUMIF(EPFL!$A:$A,'Price Table 8 EPFL'!$A44,EPFL!M:M)</f>
        <v>0</v>
      </c>
      <c r="N44" s="123">
        <f>SUMIF(EPFL!$A:$A,'Price Table 8 EPFL'!$A44,EPFL!N:N)</f>
        <v>0</v>
      </c>
      <c r="O44" s="123">
        <f>SUMIF(EPFL!$A:$A,'Price Table 8 EPFL'!$A44,EPFL!O:O)</f>
        <v>0</v>
      </c>
      <c r="P44" s="123">
        <f>SUMIF(EPFL!$A:$A,'Price Table 8 EPFL'!$A44,EPFL!P:P)</f>
        <v>0</v>
      </c>
      <c r="Q44" s="123">
        <f>SUMIF(EPFL!$A:$A,'Price Table 8 EPFL'!$A44,EPFL!Q:Q)</f>
        <v>0</v>
      </c>
      <c r="R44" s="28"/>
      <c r="S44" s="28"/>
      <c r="T44" s="28"/>
      <c r="U44" s="28"/>
      <c r="V44" s="28"/>
      <c r="W44" s="28"/>
      <c r="X44" s="28"/>
      <c r="Y44" s="29"/>
      <c r="Z44" s="28"/>
      <c r="AA44" s="28"/>
      <c r="AB44" s="28"/>
      <c r="AC44" s="28"/>
      <c r="AD44" s="28"/>
      <c r="AE44" s="28"/>
      <c r="AF44" s="28"/>
      <c r="AG44" s="28"/>
      <c r="AH44" s="115">
        <f t="shared" si="0"/>
        <v>0</v>
      </c>
    </row>
    <row r="45" spans="1:34">
      <c r="A45" t="s">
        <v>596</v>
      </c>
      <c r="B45" s="51" t="s">
        <v>597</v>
      </c>
      <c r="C45" s="53"/>
      <c r="D45" s="44"/>
      <c r="E45" s="37" t="s">
        <v>14</v>
      </c>
      <c r="F45" s="36" t="s">
        <v>117</v>
      </c>
      <c r="G45" s="36" t="str">
        <f>CONCATENATE(E45,F45)</f>
        <v>MISSIONProcurement</v>
      </c>
      <c r="H45" s="16">
        <v>470000</v>
      </c>
      <c r="I45" t="s">
        <v>595</v>
      </c>
      <c r="J45" s="123">
        <f>SUMIF(EPFL!$A:$A,'Price Table 8 EPFL'!$A45,EPFL!J:J)</f>
        <v>0</v>
      </c>
      <c r="K45" s="123">
        <f>SUMIF(EPFL!$A:$A,'Price Table 8 EPFL'!$A45,EPFL!K:K)</f>
        <v>0</v>
      </c>
      <c r="L45" s="123">
        <f>SUMIF(EPFL!$A:$A,'Price Table 8 EPFL'!$A45,EPFL!L:L)</f>
        <v>0</v>
      </c>
      <c r="M45" s="123">
        <f>SUMIF(EPFL!$A:$A,'Price Table 8 EPFL'!$A45,EPFL!M:M)</f>
        <v>0</v>
      </c>
      <c r="N45" s="123">
        <f>SUMIF(EPFL!$A:$A,'Price Table 8 EPFL'!$A45,EPFL!N:N)</f>
        <v>0</v>
      </c>
      <c r="O45" s="123">
        <f>SUMIF(EPFL!$A:$A,'Price Table 8 EPFL'!$A45,EPFL!O:O)</f>
        <v>0</v>
      </c>
      <c r="P45" s="123">
        <f>SUMIF(EPFL!$A:$A,'Price Table 8 EPFL'!$A45,EPFL!P:P)</f>
        <v>0</v>
      </c>
      <c r="Q45" s="123">
        <f>SUMIF(EPFL!$A:$A,'Price Table 8 EPFL'!$A45,EPFL!Q:Q)</f>
        <v>0</v>
      </c>
      <c r="R45" s="28"/>
      <c r="S45" s="28"/>
      <c r="T45" s="28"/>
      <c r="U45" s="28"/>
      <c r="V45" s="28"/>
      <c r="W45" s="28"/>
      <c r="X45" s="28"/>
      <c r="Y45" s="29"/>
      <c r="Z45" s="28"/>
      <c r="AA45" s="28"/>
      <c r="AB45" s="28"/>
      <c r="AC45" s="28"/>
      <c r="AD45" s="28"/>
      <c r="AE45" s="28"/>
      <c r="AF45" s="28"/>
      <c r="AG45" s="28"/>
      <c r="AH45" s="115">
        <f t="shared" si="0"/>
        <v>0</v>
      </c>
    </row>
    <row r="46" spans="1:34" s="16" customFormat="1">
      <c r="B46" s="45"/>
      <c r="C46" s="55"/>
      <c r="D46" s="56" t="s">
        <v>562</v>
      </c>
      <c r="E46" s="57"/>
      <c r="F46" s="57"/>
      <c r="G46" s="57"/>
      <c r="J46" s="390"/>
      <c r="K46" s="390"/>
      <c r="L46" s="390"/>
      <c r="M46" s="390"/>
      <c r="N46" s="390"/>
      <c r="O46" s="390"/>
      <c r="P46" s="390"/>
      <c r="Q46" s="390"/>
      <c r="AH46" s="390"/>
    </row>
    <row r="47" spans="1:34">
      <c r="B47" s="48" t="s">
        <v>598</v>
      </c>
      <c r="C47" s="52"/>
      <c r="D47" s="50"/>
      <c r="H47" s="17"/>
      <c r="J47" s="115"/>
      <c r="K47" s="115"/>
      <c r="L47" s="115"/>
      <c r="M47" s="115"/>
      <c r="N47" s="115"/>
      <c r="O47" s="115"/>
      <c r="P47" s="115"/>
      <c r="Q47" s="115"/>
    </row>
    <row r="48" spans="1:34">
      <c r="A48" t="s">
        <v>321</v>
      </c>
      <c r="B48" s="51" t="s">
        <v>599</v>
      </c>
      <c r="C48" s="53"/>
      <c r="D48" s="44"/>
      <c r="E48" s="36" t="s">
        <v>139</v>
      </c>
      <c r="F48" s="36" t="s">
        <v>13</v>
      </c>
      <c r="G48" s="36" t="str">
        <f>CONCATENATE(E48,F48)</f>
        <v>TECHManpower</v>
      </c>
      <c r="H48" s="63" t="s">
        <v>600</v>
      </c>
      <c r="I48" s="65" t="s">
        <v>601</v>
      </c>
      <c r="J48" s="123">
        <f>SUMIF(EPFL!$A:$A,'Price Table 8 EPFL'!$A48,EPFL!J:J)</f>
        <v>0</v>
      </c>
      <c r="K48" s="123">
        <f>SUMIF(EPFL!$A:$A,'Price Table 8 EPFL'!$A48,EPFL!K:K)</f>
        <v>0</v>
      </c>
      <c r="L48" s="123">
        <f>SUMIF(EPFL!$A:$A,'Price Table 8 EPFL'!$A48,EPFL!L:L)</f>
        <v>0</v>
      </c>
      <c r="M48" s="123">
        <f>SUMIF(EPFL!$A:$A,'Price Table 8 EPFL'!$A48,EPFL!M:M)</f>
        <v>0</v>
      </c>
      <c r="N48" s="123">
        <f>SUMIF(EPFL!$A:$A,'Price Table 8 EPFL'!$A48,EPFL!N:N)</f>
        <v>0</v>
      </c>
      <c r="O48" s="123">
        <f>SUMIF(EPFL!$A:$A,'Price Table 8 EPFL'!$A48,EPFL!O:O)</f>
        <v>0</v>
      </c>
      <c r="P48" s="123">
        <f>SUMIF(EPFL!$A:$A,'Price Table 8 EPFL'!$A48,EPFL!P:P)</f>
        <v>0</v>
      </c>
      <c r="Q48" s="123">
        <f>SUMIF(EPFL!$A:$A,'Price Table 8 EPFL'!$A48,EPFL!Q:Q)</f>
        <v>0</v>
      </c>
      <c r="R48" s="28"/>
      <c r="S48" s="28"/>
      <c r="T48" s="28"/>
      <c r="U48" s="28"/>
      <c r="V48" s="28"/>
      <c r="W48" s="28"/>
      <c r="X48" s="28"/>
      <c r="Y48" s="33"/>
      <c r="Z48" s="28"/>
      <c r="AA48" s="28"/>
      <c r="AB48" s="28"/>
      <c r="AC48" s="28"/>
      <c r="AD48" s="28"/>
      <c r="AE48" s="28"/>
      <c r="AF48" s="28"/>
      <c r="AG48" s="28"/>
      <c r="AH48" s="115">
        <f t="shared" si="0"/>
        <v>0</v>
      </c>
    </row>
    <row r="49" spans="1:36">
      <c r="A49" t="s">
        <v>602</v>
      </c>
      <c r="B49" s="51" t="s">
        <v>603</v>
      </c>
      <c r="C49" s="53"/>
      <c r="D49" s="44"/>
      <c r="E49" s="36" t="s">
        <v>139</v>
      </c>
      <c r="F49" s="36" t="s">
        <v>117</v>
      </c>
      <c r="G49" s="36" t="str">
        <f>CONCATENATE(E49,F49)</f>
        <v>TECHProcurement</v>
      </c>
      <c r="H49" s="63" t="s">
        <v>600</v>
      </c>
      <c r="I49" s="65" t="s">
        <v>601</v>
      </c>
      <c r="J49" s="123">
        <f>SUMIF(EPFL!$A:$A,'Price Table 8 EPFL'!$A49,EPFL!J:J)</f>
        <v>0</v>
      </c>
      <c r="K49" s="123">
        <f>SUMIF(EPFL!$A:$A,'Price Table 8 EPFL'!$A49,EPFL!K:K)</f>
        <v>0</v>
      </c>
      <c r="L49" s="123">
        <f>SUMIF(EPFL!$A:$A,'Price Table 8 EPFL'!$A49,EPFL!L:L)</f>
        <v>0</v>
      </c>
      <c r="M49" s="123">
        <f>SUMIF(EPFL!$A:$A,'Price Table 8 EPFL'!$A49,EPFL!M:M)</f>
        <v>0</v>
      </c>
      <c r="N49" s="123">
        <f>SUMIF(EPFL!$A:$A,'Price Table 8 EPFL'!$A49,EPFL!N:N)</f>
        <v>0</v>
      </c>
      <c r="O49" s="123">
        <f>SUMIF(EPFL!$A:$A,'Price Table 8 EPFL'!$A49,EPFL!O:O)</f>
        <v>0</v>
      </c>
      <c r="P49" s="123">
        <f>SUMIF(EPFL!$A:$A,'Price Table 8 EPFL'!$A49,EPFL!P:P)</f>
        <v>0</v>
      </c>
      <c r="Q49" s="123">
        <f>SUMIF(EPFL!$A:$A,'Price Table 8 EPFL'!$A49,EPFL!Q:Q)</f>
        <v>0</v>
      </c>
      <c r="R49" s="28"/>
      <c r="S49" s="28"/>
      <c r="T49" s="28"/>
      <c r="U49" s="28"/>
      <c r="V49" s="28"/>
      <c r="W49" s="28"/>
      <c r="X49" s="28"/>
      <c r="Y49" s="33"/>
      <c r="Z49" s="28"/>
      <c r="AA49" s="28"/>
      <c r="AB49" s="28"/>
      <c r="AC49" s="28"/>
      <c r="AD49" s="28"/>
      <c r="AE49" s="28"/>
      <c r="AF49" s="28"/>
      <c r="AG49" s="28"/>
      <c r="AH49" s="115">
        <f t="shared" si="0"/>
        <v>0</v>
      </c>
    </row>
    <row r="50" spans="1:36" s="16" customFormat="1">
      <c r="B50" s="45"/>
      <c r="C50" s="55"/>
      <c r="D50" s="56" t="s">
        <v>562</v>
      </c>
      <c r="E50" s="57"/>
      <c r="F50" s="57"/>
      <c r="G50" s="57"/>
      <c r="H50" s="63"/>
      <c r="I50" s="65"/>
      <c r="J50" s="405"/>
      <c r="K50" s="405"/>
      <c r="L50" s="405"/>
      <c r="M50" s="405"/>
      <c r="N50" s="405"/>
      <c r="O50" s="405"/>
      <c r="P50" s="405"/>
      <c r="Q50" s="405"/>
      <c r="R50" s="65"/>
      <c r="S50" s="65"/>
      <c r="T50" s="65"/>
      <c r="U50" s="65"/>
      <c r="V50" s="65"/>
      <c r="W50" s="65"/>
      <c r="X50" s="65"/>
      <c r="Y50" s="65"/>
      <c r="Z50" s="65"/>
      <c r="AA50" s="65"/>
      <c r="AB50" s="65"/>
      <c r="AC50" s="65"/>
      <c r="AD50" s="65"/>
      <c r="AE50" s="65"/>
      <c r="AF50" s="65"/>
      <c r="AG50" s="65"/>
      <c r="AH50" s="405"/>
      <c r="AI50" s="65"/>
      <c r="AJ50" s="65"/>
    </row>
    <row r="51" spans="1:36">
      <c r="B51" s="48" t="s">
        <v>604</v>
      </c>
      <c r="C51" s="52"/>
      <c r="D51" s="50"/>
      <c r="H51" s="17"/>
      <c r="J51" s="115"/>
      <c r="K51" s="115"/>
      <c r="L51" s="115"/>
      <c r="M51" s="115"/>
      <c r="N51" s="115"/>
      <c r="O51" s="115"/>
      <c r="P51" s="115"/>
      <c r="Q51" s="115"/>
    </row>
    <row r="52" spans="1:36">
      <c r="A52" t="s">
        <v>336</v>
      </c>
      <c r="B52" s="51" t="s">
        <v>605</v>
      </c>
      <c r="C52" s="53"/>
      <c r="D52" s="44"/>
      <c r="E52" s="36" t="s">
        <v>139</v>
      </c>
      <c r="F52" s="36" t="s">
        <v>13</v>
      </c>
      <c r="G52" s="36" t="str">
        <f>CONCATENATE(E52,F52)</f>
        <v>TECHManpower</v>
      </c>
      <c r="H52" s="63">
        <v>490600</v>
      </c>
      <c r="J52" s="123">
        <f>SUMIF(EPFL!$A:$A,'Price Table 8 EPFL'!$A52,EPFL!J:J)</f>
        <v>0</v>
      </c>
      <c r="K52" s="123">
        <f>SUMIF(EPFL!$A:$A,'Price Table 8 EPFL'!$A52,EPFL!K:K)</f>
        <v>0</v>
      </c>
      <c r="L52" s="123">
        <f>SUMIF(EPFL!$A:$A,'Price Table 8 EPFL'!$A52,EPFL!L:L)</f>
        <v>0</v>
      </c>
      <c r="M52" s="123">
        <f>SUMIF(EPFL!$A:$A,'Price Table 8 EPFL'!$A52,EPFL!M:M)</f>
        <v>0</v>
      </c>
      <c r="N52" s="123">
        <f>SUMIF(EPFL!$A:$A,'Price Table 8 EPFL'!$A52,EPFL!N:N)</f>
        <v>0</v>
      </c>
      <c r="O52" s="123">
        <f>SUMIF(EPFL!$A:$A,'Price Table 8 EPFL'!$A52,EPFL!O:O)</f>
        <v>0</v>
      </c>
      <c r="P52" s="123">
        <f>SUMIF(EPFL!$A:$A,'Price Table 8 EPFL'!$A52,EPFL!P:P)</f>
        <v>0</v>
      </c>
      <c r="Q52" s="123">
        <f>SUMIF(EPFL!$A:$A,'Price Table 8 EPFL'!$A52,EPFL!Q:Q)</f>
        <v>0</v>
      </c>
      <c r="R52" s="28"/>
      <c r="S52" s="28"/>
      <c r="T52" s="28"/>
      <c r="U52" s="28"/>
      <c r="V52" s="28"/>
      <c r="W52" s="28"/>
      <c r="X52" s="28"/>
      <c r="Y52" s="33"/>
      <c r="Z52" s="28"/>
      <c r="AA52" s="28"/>
      <c r="AB52" s="28"/>
      <c r="AC52" s="28"/>
      <c r="AD52" s="28"/>
      <c r="AE52" s="28"/>
      <c r="AF52" s="28"/>
      <c r="AG52" s="28"/>
      <c r="AH52" s="115">
        <f t="shared" si="0"/>
        <v>0</v>
      </c>
    </row>
    <row r="53" spans="1:36">
      <c r="A53" t="s">
        <v>606</v>
      </c>
      <c r="B53" s="51" t="s">
        <v>607</v>
      </c>
      <c r="C53" s="53"/>
      <c r="D53" s="44"/>
      <c r="E53" s="36" t="s">
        <v>139</v>
      </c>
      <c r="F53" s="36" t="s">
        <v>117</v>
      </c>
      <c r="G53" s="36" t="str">
        <f>CONCATENATE(E53,F53)</f>
        <v>TECHProcurement</v>
      </c>
      <c r="H53" s="63">
        <v>490600</v>
      </c>
      <c r="J53" s="123">
        <f>SUMIF(EPFL!$A:$A,'Price Table 8 EPFL'!$A53,EPFL!J:J)</f>
        <v>0</v>
      </c>
      <c r="K53" s="123">
        <f>SUMIF(EPFL!$A:$A,'Price Table 8 EPFL'!$A53,EPFL!K:K)</f>
        <v>0</v>
      </c>
      <c r="L53" s="123">
        <f>SUMIF(EPFL!$A:$A,'Price Table 8 EPFL'!$A53,EPFL!L:L)</f>
        <v>0</v>
      </c>
      <c r="M53" s="123">
        <f>SUMIF(EPFL!$A:$A,'Price Table 8 EPFL'!$A53,EPFL!M:M)</f>
        <v>0</v>
      </c>
      <c r="N53" s="123">
        <f>SUMIF(EPFL!$A:$A,'Price Table 8 EPFL'!$A53,EPFL!N:N)</f>
        <v>0</v>
      </c>
      <c r="O53" s="123">
        <f>SUMIF(EPFL!$A:$A,'Price Table 8 EPFL'!$A53,EPFL!O:O)</f>
        <v>0</v>
      </c>
      <c r="P53" s="123">
        <f>SUMIF(EPFL!$A:$A,'Price Table 8 EPFL'!$A53,EPFL!P:P)</f>
        <v>0</v>
      </c>
      <c r="Q53" s="123">
        <f>SUMIF(EPFL!$A:$A,'Price Table 8 EPFL'!$A53,EPFL!Q:Q)</f>
        <v>0</v>
      </c>
      <c r="R53" s="28"/>
      <c r="S53" s="28"/>
      <c r="T53" s="28"/>
      <c r="U53" s="28"/>
      <c r="V53" s="28"/>
      <c r="W53" s="28"/>
      <c r="X53" s="28"/>
      <c r="Y53" s="33"/>
      <c r="Z53" s="28"/>
      <c r="AA53" s="28"/>
      <c r="AB53" s="28"/>
      <c r="AC53" s="28"/>
      <c r="AD53" s="28"/>
      <c r="AE53" s="28"/>
      <c r="AF53" s="28"/>
      <c r="AG53" s="28"/>
      <c r="AH53" s="115">
        <f t="shared" si="0"/>
        <v>0</v>
      </c>
    </row>
    <row r="54" spans="1:36" s="16" customFormat="1">
      <c r="B54" s="45"/>
      <c r="C54" s="55"/>
      <c r="D54" s="56" t="s">
        <v>562</v>
      </c>
      <c r="E54" s="57"/>
      <c r="F54" s="57"/>
      <c r="G54" s="57"/>
      <c r="H54" s="63"/>
      <c r="J54" s="390"/>
      <c r="K54" s="390"/>
      <c r="L54" s="390"/>
      <c r="M54" s="390"/>
      <c r="N54" s="390"/>
      <c r="O54" s="390"/>
      <c r="P54" s="390"/>
      <c r="Q54" s="390"/>
      <c r="AH54" s="390"/>
    </row>
    <row r="55" spans="1:36">
      <c r="B55" s="48" t="s">
        <v>642</v>
      </c>
      <c r="C55" s="52"/>
      <c r="D55" s="50"/>
      <c r="H55" s="17"/>
      <c r="J55" s="115"/>
      <c r="K55" s="115"/>
      <c r="L55" s="115"/>
      <c r="M55" s="115"/>
      <c r="N55" s="115"/>
      <c r="O55" s="115"/>
      <c r="P55" s="115"/>
      <c r="Q55" s="115"/>
    </row>
    <row r="56" spans="1:36">
      <c r="A56" t="s">
        <v>331</v>
      </c>
      <c r="B56" s="51" t="s">
        <v>609</v>
      </c>
      <c r="C56" s="53"/>
      <c r="D56" s="44"/>
      <c r="E56" s="37" t="s">
        <v>14</v>
      </c>
      <c r="F56" s="36" t="s">
        <v>117</v>
      </c>
      <c r="G56" s="36" t="str">
        <f>CONCATENATE(E56,F56)</f>
        <v>MISSIONProcurement</v>
      </c>
      <c r="H56" s="16">
        <v>490540</v>
      </c>
      <c r="J56" s="123">
        <f>SUMIF(EPFL!$A:$A,'Price Table 8 EPFL'!$A56,EPFL!J:J)</f>
        <v>0</v>
      </c>
      <c r="K56" s="123">
        <f>SUMIF(EPFL!$A:$A,'Price Table 8 EPFL'!$A56,EPFL!K:K)</f>
        <v>0</v>
      </c>
      <c r="L56" s="123">
        <f>SUMIF(EPFL!$A:$A,'Price Table 8 EPFL'!$A56,EPFL!L:L)</f>
        <v>0</v>
      </c>
      <c r="M56" s="123">
        <f>SUMIF(EPFL!$A:$A,'Price Table 8 EPFL'!$A56,EPFL!M:M)</f>
        <v>0</v>
      </c>
      <c r="N56" s="123">
        <f>SUMIF(EPFL!$A:$A,'Price Table 8 EPFL'!$A56,EPFL!N:N)</f>
        <v>0</v>
      </c>
      <c r="O56" s="123">
        <f>SUMIF(EPFL!$A:$A,'Price Table 8 EPFL'!$A56,EPFL!O:O)</f>
        <v>0</v>
      </c>
      <c r="P56" s="123">
        <f>SUMIF(EPFL!$A:$A,'Price Table 8 EPFL'!$A56,EPFL!P:P)</f>
        <v>0</v>
      </c>
      <c r="Q56" s="123">
        <f>SUMIF(EPFL!$A:$A,'Price Table 8 EPFL'!$A56,EPFL!Q:Q)</f>
        <v>0</v>
      </c>
      <c r="R56" s="28"/>
      <c r="S56" s="28"/>
      <c r="T56" s="28"/>
      <c r="U56" s="28"/>
      <c r="V56" s="28"/>
      <c r="W56" s="28"/>
      <c r="X56" s="28"/>
      <c r="Y56" s="29"/>
      <c r="Z56" s="28"/>
      <c r="AA56" s="28"/>
      <c r="AB56" s="28"/>
      <c r="AC56" s="28"/>
      <c r="AD56" s="28"/>
      <c r="AE56" s="28"/>
      <c r="AF56" s="28"/>
      <c r="AG56" s="28"/>
      <c r="AH56" s="115">
        <f t="shared" si="0"/>
        <v>0</v>
      </c>
    </row>
    <row r="57" spans="1:36" s="16" customFormat="1">
      <c r="B57" s="45"/>
      <c r="C57" s="55"/>
      <c r="D57" s="56" t="s">
        <v>562</v>
      </c>
      <c r="E57" s="57"/>
      <c r="F57" s="57"/>
      <c r="G57" s="57"/>
      <c r="H57" s="17"/>
      <c r="J57" s="390"/>
      <c r="K57" s="390"/>
      <c r="L57" s="390"/>
      <c r="M57" s="390"/>
      <c r="N57" s="390"/>
      <c r="O57" s="390"/>
      <c r="P57" s="390"/>
      <c r="Q57" s="390"/>
      <c r="AH57" s="390"/>
    </row>
    <row r="58" spans="1:36">
      <c r="B58" s="46" t="s">
        <v>611</v>
      </c>
      <c r="C58" s="47"/>
      <c r="D58" s="41"/>
      <c r="H58"/>
      <c r="J58" s="115"/>
      <c r="K58" s="115"/>
      <c r="L58" s="115"/>
      <c r="M58" s="115"/>
      <c r="N58" s="115"/>
      <c r="O58" s="115"/>
      <c r="P58" s="115"/>
      <c r="Q58" s="115"/>
    </row>
    <row r="59" spans="1:36">
      <c r="B59" s="48" t="s">
        <v>612</v>
      </c>
      <c r="C59" s="49"/>
      <c r="D59" s="50"/>
      <c r="H59"/>
      <c r="J59" s="115"/>
      <c r="K59" s="115"/>
      <c r="L59" s="115"/>
      <c r="M59" s="115"/>
      <c r="N59" s="115"/>
      <c r="O59" s="115"/>
      <c r="P59" s="115"/>
      <c r="Q59" s="115"/>
    </row>
    <row r="60" spans="1:36">
      <c r="A60" t="s">
        <v>230</v>
      </c>
      <c r="B60" s="51" t="s">
        <v>613</v>
      </c>
      <c r="C60" s="54"/>
      <c r="D60" s="44"/>
      <c r="E60" s="36" t="s">
        <v>139</v>
      </c>
      <c r="F60" s="36" t="s">
        <v>13</v>
      </c>
      <c r="G60" s="36" t="str">
        <f>CONCATENATE(E60,F60)</f>
        <v>TECHManpower</v>
      </c>
      <c r="H60" t="s">
        <v>614</v>
      </c>
      <c r="J60" s="123">
        <f>SUMIF(EPFL!$A:$A,'Price Table 8 EPFL'!$A60,EPFL!J:J)</f>
        <v>0</v>
      </c>
      <c r="K60" s="123">
        <f>SUMIF(EPFL!$A:$A,'Price Table 8 EPFL'!$A60,EPFL!K:K)</f>
        <v>0</v>
      </c>
      <c r="L60" s="123">
        <f>SUMIF(EPFL!$A:$A,'Price Table 8 EPFL'!$A60,EPFL!L:L)</f>
        <v>0</v>
      </c>
      <c r="M60" s="123">
        <f>SUMIF(EPFL!$A:$A,'Price Table 8 EPFL'!$A60,EPFL!M:M)</f>
        <v>107.10651739130429</v>
      </c>
      <c r="N60" s="123">
        <f>SUMIF(EPFL!$A:$A,'Price Table 8 EPFL'!$A60,EPFL!N:N)</f>
        <v>72.334091304347794</v>
      </c>
      <c r="O60" s="123">
        <f>SUMIF(EPFL!$A:$A,'Price Table 8 EPFL'!$A60,EPFL!O:O)</f>
        <v>72.334091304347794</v>
      </c>
      <c r="P60" s="123">
        <f>SUMIF(EPFL!$A:$A,'Price Table 8 EPFL'!$A60,EPFL!P:P)</f>
        <v>72.334091304347794</v>
      </c>
      <c r="Q60" s="123">
        <f>SUMIF(EPFL!$A:$A,'Price Table 8 EPFL'!$A60,EPFL!Q:Q)</f>
        <v>0</v>
      </c>
      <c r="R60" s="28"/>
      <c r="S60" s="28"/>
      <c r="T60" s="28"/>
      <c r="U60" s="28"/>
      <c r="V60" s="28"/>
      <c r="W60" s="28"/>
      <c r="X60" s="28"/>
      <c r="Y60" s="28"/>
      <c r="Z60" s="33"/>
      <c r="AA60" s="33"/>
      <c r="AB60" s="33"/>
      <c r="AC60" s="33"/>
      <c r="AD60" s="33"/>
      <c r="AE60" s="33"/>
      <c r="AF60" s="33"/>
      <c r="AG60" s="33"/>
      <c r="AH60" s="115">
        <f t="shared" si="0"/>
        <v>324.10879130434768</v>
      </c>
    </row>
    <row r="61" spans="1:36">
      <c r="A61" t="s">
        <v>138</v>
      </c>
      <c r="B61" s="51" t="s">
        <v>615</v>
      </c>
      <c r="C61" s="54"/>
      <c r="D61" s="44"/>
      <c r="E61" s="36" t="s">
        <v>139</v>
      </c>
      <c r="F61" s="36" t="s">
        <v>117</v>
      </c>
      <c r="G61" s="36" t="str">
        <f>CONCATENATE(E61,F61)</f>
        <v>TECHProcurement</v>
      </c>
      <c r="H61" t="s">
        <v>616</v>
      </c>
      <c r="I61" s="65" t="s">
        <v>610</v>
      </c>
      <c r="J61" s="123">
        <f>SUMIF(EPFL!$A:$A,'Price Table 8 EPFL'!$A61,EPFL!J:J)</f>
        <v>0</v>
      </c>
      <c r="K61" s="123">
        <f>SUMIF(EPFL!$A:$A,'Price Table 8 EPFL'!$A61,EPFL!K:K)</f>
        <v>0</v>
      </c>
      <c r="L61" s="123">
        <f>SUMIF(EPFL!$A:$A,'Price Table 8 EPFL'!$A61,EPFL!L:L)</f>
        <v>0</v>
      </c>
      <c r="M61" s="123">
        <f>SUMIF(EPFL!$A:$A,'Price Table 8 EPFL'!$A61,EPFL!M:M)</f>
        <v>0</v>
      </c>
      <c r="N61" s="123">
        <f>SUMIF(EPFL!$A:$A,'Price Table 8 EPFL'!$A61,EPFL!N:N)</f>
        <v>0</v>
      </c>
      <c r="O61" s="123">
        <f>SUMIF(EPFL!$A:$A,'Price Table 8 EPFL'!$A61,EPFL!O:O)</f>
        <v>0</v>
      </c>
      <c r="P61" s="123">
        <f>SUMIF(EPFL!$A:$A,'Price Table 8 EPFL'!$A61,EPFL!P:P)</f>
        <v>0</v>
      </c>
      <c r="Q61" s="123">
        <f>SUMIF(EPFL!$A:$A,'Price Table 8 EPFL'!$A61,EPFL!Q:Q)</f>
        <v>0</v>
      </c>
      <c r="R61" s="28"/>
      <c r="S61" s="28"/>
      <c r="T61" s="28"/>
      <c r="U61" s="28"/>
      <c r="V61" s="28"/>
      <c r="W61" s="28"/>
      <c r="X61" s="28"/>
      <c r="Y61" s="28"/>
      <c r="Z61" s="33"/>
      <c r="AA61" s="33"/>
      <c r="AB61" s="33"/>
      <c r="AC61" s="33"/>
      <c r="AD61" s="33"/>
      <c r="AE61" s="33"/>
      <c r="AF61" s="33"/>
      <c r="AG61" s="33"/>
      <c r="AH61" s="115">
        <f t="shared" si="0"/>
        <v>0</v>
      </c>
    </row>
    <row r="62" spans="1:36" s="16" customFormat="1">
      <c r="B62" s="45"/>
      <c r="C62" s="55"/>
      <c r="D62" s="56" t="s">
        <v>562</v>
      </c>
      <c r="E62" s="57"/>
      <c r="F62" s="57"/>
      <c r="G62" s="57"/>
      <c r="H62" s="17"/>
      <c r="J62" s="390"/>
      <c r="K62" s="390"/>
      <c r="L62" s="390"/>
      <c r="M62" s="390"/>
      <c r="N62" s="390"/>
      <c r="O62" s="390"/>
      <c r="P62" s="390"/>
      <c r="Q62" s="390"/>
      <c r="AH62" s="390"/>
    </row>
    <row r="63" spans="1:36">
      <c r="B63" s="48" t="s">
        <v>617</v>
      </c>
      <c r="C63" s="49"/>
      <c r="D63" s="50"/>
      <c r="H63"/>
      <c r="J63" s="115"/>
      <c r="K63" s="115"/>
      <c r="L63" s="115"/>
      <c r="M63" s="115"/>
      <c r="N63" s="115"/>
      <c r="O63" s="115"/>
      <c r="P63" s="115"/>
      <c r="Q63" s="115"/>
    </row>
    <row r="64" spans="1:36">
      <c r="A64" t="s">
        <v>293</v>
      </c>
      <c r="B64" s="51" t="s">
        <v>618</v>
      </c>
      <c r="C64" s="54"/>
      <c r="D64" s="44"/>
      <c r="E64" s="37" t="s">
        <v>139</v>
      </c>
      <c r="F64" s="36" t="s">
        <v>13</v>
      </c>
      <c r="G64" s="36" t="str">
        <f>CONCATENATE(E64,F64)</f>
        <v>TECHManpower</v>
      </c>
      <c r="H64" s="61">
        <v>480000</v>
      </c>
      <c r="I64" t="s">
        <v>619</v>
      </c>
      <c r="J64" s="123">
        <f>SUMIF(EPFL!$A:$A,'Price Table 8 EPFL'!$A64,EPFL!J:J)</f>
        <v>149.10838869565208</v>
      </c>
      <c r="K64" s="123">
        <f>SUMIF(EPFL!$A:$A,'Price Table 8 EPFL'!$A64,EPFL!K:K)</f>
        <v>149.10838869565208</v>
      </c>
      <c r="L64" s="123">
        <f>SUMIF(EPFL!$A:$A,'Price Table 8 EPFL'!$A64,EPFL!L:L)</f>
        <v>149.10838869565208</v>
      </c>
      <c r="M64" s="123">
        <f>SUMIF(EPFL!$A:$A,'Price Table 8 EPFL'!$A64,EPFL!M:M)</f>
        <v>149.10838869565208</v>
      </c>
      <c r="N64" s="123">
        <f>SUMIF(EPFL!$A:$A,'Price Table 8 EPFL'!$A64,EPFL!N:N)</f>
        <v>149.10838869565208</v>
      </c>
      <c r="O64" s="123">
        <f>SUMIF(EPFL!$A:$A,'Price Table 8 EPFL'!$A64,EPFL!O:O)</f>
        <v>149.10838869565208</v>
      </c>
      <c r="P64" s="123">
        <f>SUMIF(EPFL!$A:$A,'Price Table 8 EPFL'!$A64,EPFL!P:P)</f>
        <v>69.544852173913</v>
      </c>
      <c r="Q64" s="123">
        <f>SUMIF(EPFL!$A:$A,'Price Table 8 EPFL'!$A64,EPFL!Q:Q)</f>
        <v>69.544852173913</v>
      </c>
      <c r="R64" s="28"/>
      <c r="S64" s="28"/>
      <c r="T64" s="28"/>
      <c r="U64" s="28"/>
      <c r="V64" s="28"/>
      <c r="W64" s="28"/>
      <c r="X64" s="28"/>
      <c r="Y64" s="32"/>
      <c r="Z64" s="28"/>
      <c r="AA64" s="28"/>
      <c r="AB64" s="28"/>
      <c r="AC64" s="28"/>
      <c r="AD64" s="28"/>
      <c r="AE64" s="28"/>
      <c r="AF64" s="28"/>
      <c r="AG64" s="28"/>
      <c r="AH64" s="115">
        <f t="shared" si="0"/>
        <v>1033.7400365217386</v>
      </c>
    </row>
    <row r="65" spans="1:34">
      <c r="A65" t="s">
        <v>620</v>
      </c>
      <c r="B65" s="51" t="s">
        <v>621</v>
      </c>
      <c r="C65" s="54"/>
      <c r="D65" s="44"/>
      <c r="E65" s="36" t="s">
        <v>139</v>
      </c>
      <c r="F65" s="36" t="s">
        <v>117</v>
      </c>
      <c r="G65" s="36" t="str">
        <f>CONCATENATE(E65,F65)</f>
        <v>TECHProcurement</v>
      </c>
      <c r="H65" s="61">
        <v>480000</v>
      </c>
      <c r="J65" s="123">
        <f>SUMIF(EPFL!$A:$A,'Price Table 8 EPFL'!$A65,EPFL!J:J)</f>
        <v>0</v>
      </c>
      <c r="K65" s="123">
        <f>SUMIF(EPFL!$A:$A,'Price Table 8 EPFL'!$A65,EPFL!K:K)</f>
        <v>0</v>
      </c>
      <c r="L65" s="123">
        <f>SUMIF(EPFL!$A:$A,'Price Table 8 EPFL'!$A65,EPFL!L:L)</f>
        <v>0</v>
      </c>
      <c r="M65" s="123">
        <f>SUMIF(EPFL!$A:$A,'Price Table 8 EPFL'!$A65,EPFL!M:M)</f>
        <v>0</v>
      </c>
      <c r="N65" s="123">
        <f>SUMIF(EPFL!$A:$A,'Price Table 8 EPFL'!$A65,EPFL!N:N)</f>
        <v>0</v>
      </c>
      <c r="O65" s="123">
        <f>SUMIF(EPFL!$A:$A,'Price Table 8 EPFL'!$A65,EPFL!O:O)</f>
        <v>0</v>
      </c>
      <c r="P65" s="123">
        <f>SUMIF(EPFL!$A:$A,'Price Table 8 EPFL'!$A65,EPFL!P:P)</f>
        <v>0</v>
      </c>
      <c r="Q65" s="123">
        <f>SUMIF(EPFL!$A:$A,'Price Table 8 EPFL'!$A65,EPFL!Q:Q)</f>
        <v>0</v>
      </c>
      <c r="R65" s="28"/>
      <c r="S65" s="28"/>
      <c r="T65" s="28"/>
      <c r="U65" s="28"/>
      <c r="V65" s="28"/>
      <c r="W65" s="28"/>
      <c r="X65" s="28"/>
      <c r="Y65" s="32"/>
      <c r="Z65" s="28"/>
      <c r="AA65" s="28"/>
      <c r="AB65" s="28"/>
      <c r="AC65" s="28"/>
      <c r="AD65" s="28"/>
      <c r="AE65" s="28"/>
      <c r="AF65" s="28"/>
      <c r="AG65" s="28"/>
      <c r="AH65" s="115">
        <f t="shared" si="0"/>
        <v>0</v>
      </c>
    </row>
    <row r="66" spans="1:34" s="16" customFormat="1">
      <c r="B66" s="45"/>
      <c r="C66" s="55"/>
      <c r="D66" s="56" t="s">
        <v>562</v>
      </c>
      <c r="E66" s="57"/>
      <c r="F66" s="57"/>
      <c r="G66" s="57"/>
      <c r="H66" s="17"/>
      <c r="J66" s="390"/>
      <c r="K66" s="390"/>
      <c r="L66" s="390"/>
      <c r="M66" s="390"/>
      <c r="N66" s="390"/>
      <c r="O66" s="390"/>
      <c r="P66" s="390"/>
      <c r="Q66" s="390"/>
      <c r="AH66" s="390"/>
    </row>
    <row r="67" spans="1:34">
      <c r="A67" t="s">
        <v>377</v>
      </c>
      <c r="B67" s="48" t="s">
        <v>622</v>
      </c>
      <c r="C67" s="49"/>
      <c r="D67" s="50"/>
      <c r="E67" s="36" t="s">
        <v>139</v>
      </c>
      <c r="F67" s="36" t="s">
        <v>117</v>
      </c>
      <c r="G67" s="36" t="str">
        <f>CONCATENATE(E67,F67)</f>
        <v>TECHProcurement</v>
      </c>
      <c r="H67" s="16">
        <v>540000</v>
      </c>
      <c r="J67" s="123">
        <f>SUMIF(EPFL!$A:$A,'Price Table 8 EPFL'!$A67,EPFL!J:J)</f>
        <v>0</v>
      </c>
      <c r="K67" s="123">
        <f>SUMIF(EPFL!$A:$A,'Price Table 8 EPFL'!$A67,EPFL!K:K)</f>
        <v>0</v>
      </c>
      <c r="L67" s="123">
        <f>SUMIF(EPFL!$A:$A,'Price Table 8 EPFL'!$A67,EPFL!L:L)</f>
        <v>0</v>
      </c>
      <c r="M67" s="123">
        <f>SUMIF(EPFL!$A:$A,'Price Table 8 EPFL'!$A67,EPFL!M:M)</f>
        <v>0</v>
      </c>
      <c r="N67" s="123">
        <f>SUMIF(EPFL!$A:$A,'Price Table 8 EPFL'!$A67,EPFL!N:N)</f>
        <v>0</v>
      </c>
      <c r="O67" s="123">
        <f>SUMIF(EPFL!$A:$A,'Price Table 8 EPFL'!$A67,EPFL!O:O)</f>
        <v>0</v>
      </c>
      <c r="P67" s="123">
        <f>SUMIF(EPFL!$A:$A,'Price Table 8 EPFL'!$A67,EPFL!P:P)</f>
        <v>0</v>
      </c>
      <c r="Q67" s="123">
        <f>SUMIF(EPFL!$A:$A,'Price Table 8 EPFL'!$A67,EPFL!Q:Q)</f>
        <v>0</v>
      </c>
      <c r="R67" s="28"/>
      <c r="S67" s="28"/>
      <c r="T67" s="28"/>
      <c r="U67" s="28"/>
      <c r="V67" s="28"/>
      <c r="W67" s="28"/>
      <c r="X67" s="28"/>
      <c r="Y67" s="29"/>
      <c r="Z67" s="28"/>
      <c r="AA67" s="28"/>
      <c r="AB67" s="28"/>
      <c r="AC67" s="28"/>
      <c r="AD67" s="28"/>
      <c r="AE67" s="28"/>
      <c r="AF67" s="28"/>
      <c r="AG67" s="28"/>
      <c r="AH67" s="115">
        <f t="shared" si="0"/>
        <v>0</v>
      </c>
    </row>
    <row r="68" spans="1:34" hidden="1">
      <c r="B68" s="20" t="s">
        <v>623</v>
      </c>
      <c r="C68" s="21"/>
      <c r="D68" s="22"/>
      <c r="H68"/>
      <c r="J68" s="115"/>
      <c r="K68" s="115"/>
      <c r="L68" s="115"/>
      <c r="M68" s="115"/>
      <c r="N68" s="115"/>
      <c r="O68" s="115"/>
      <c r="P68" s="115"/>
      <c r="Q68" s="115"/>
    </row>
    <row r="69" spans="1:34" ht="21.95" customHeight="1">
      <c r="B69" s="23"/>
      <c r="C69" s="5"/>
      <c r="D69" s="5"/>
      <c r="E69"/>
      <c r="F69"/>
      <c r="G69"/>
      <c r="H69"/>
      <c r="J69" s="115"/>
      <c r="K69" s="115"/>
      <c r="L69" s="115"/>
      <c r="M69" s="115"/>
      <c r="N69" s="115"/>
      <c r="O69" s="115"/>
      <c r="P69" s="115"/>
      <c r="Q69" s="115"/>
    </row>
    <row r="70" spans="1:34" ht="21.95" customHeight="1">
      <c r="A70" t="s">
        <v>9</v>
      </c>
      <c r="B70" s="12" t="s">
        <v>624</v>
      </c>
      <c r="C70" s="13"/>
      <c r="D70" s="14"/>
      <c r="E70" s="37" t="s">
        <v>14</v>
      </c>
      <c r="F70" s="36" t="s">
        <v>117</v>
      </c>
      <c r="G70" s="36" t="str">
        <f>CONCATENATE(E70,F70)</f>
        <v>MISSIONProcurement</v>
      </c>
      <c r="H70" s="16">
        <v>320000</v>
      </c>
      <c r="J70" s="115"/>
      <c r="K70" s="115"/>
      <c r="L70" s="115"/>
      <c r="M70" s="115"/>
      <c r="N70" s="115"/>
      <c r="O70" s="115"/>
      <c r="P70" s="115"/>
      <c r="Q70" s="115"/>
    </row>
    <row r="71" spans="1:34" ht="21.95" customHeight="1">
      <c r="B71" s="5"/>
      <c r="C71" s="5"/>
      <c r="D71" s="5"/>
      <c r="E71"/>
      <c r="F71"/>
      <c r="G71"/>
      <c r="H71"/>
      <c r="J71" s="115"/>
      <c r="K71" s="115"/>
      <c r="L71" s="115"/>
      <c r="M71" s="115"/>
      <c r="N71" s="115"/>
      <c r="O71" s="115"/>
      <c r="P71" s="115"/>
      <c r="Q71" s="115"/>
    </row>
    <row r="72" spans="1:34">
      <c r="B72" s="23"/>
      <c r="C72" s="5"/>
      <c r="D72" s="5"/>
      <c r="H72"/>
      <c r="J72" s="115"/>
      <c r="K72" s="115"/>
      <c r="L72" s="115"/>
      <c r="M72" s="115"/>
      <c r="N72" s="115"/>
      <c r="O72" s="115"/>
      <c r="P72" s="115"/>
      <c r="Q72" s="115"/>
    </row>
    <row r="73" spans="1:34">
      <c r="B73" s="12" t="s">
        <v>625</v>
      </c>
      <c r="C73" s="13"/>
      <c r="D73" s="14"/>
      <c r="H73"/>
      <c r="J73" s="115"/>
      <c r="K73" s="115"/>
      <c r="L73" s="115"/>
      <c r="M73" s="115"/>
      <c r="N73" s="115"/>
      <c r="O73" s="115"/>
      <c r="P73" s="115"/>
      <c r="Q73" s="115"/>
    </row>
    <row r="74" spans="1:34">
      <c r="A74" t="s">
        <v>389</v>
      </c>
      <c r="B74" s="321" t="s">
        <v>626</v>
      </c>
      <c r="C74" s="19"/>
      <c r="D74" s="315"/>
      <c r="E74" s="37" t="s">
        <v>14</v>
      </c>
      <c r="F74" s="36" t="s">
        <v>13</v>
      </c>
      <c r="G74" s="36" t="str">
        <f>CONCATENATE(E74,F74)</f>
        <v>MISSIONManpower</v>
      </c>
      <c r="H74" s="64" t="s">
        <v>627</v>
      </c>
      <c r="J74" s="123"/>
      <c r="K74" s="123"/>
      <c r="L74" s="123"/>
      <c r="M74" s="123"/>
      <c r="N74" s="123"/>
      <c r="O74" s="123"/>
      <c r="P74" s="123"/>
      <c r="Q74" s="123"/>
      <c r="R74" s="28"/>
      <c r="S74" s="28"/>
      <c r="T74" s="28"/>
      <c r="U74" s="28"/>
      <c r="V74" s="28"/>
      <c r="W74" s="28"/>
      <c r="X74" s="28"/>
      <c r="Y74" s="35"/>
      <c r="Z74" s="28"/>
      <c r="AA74" s="28"/>
      <c r="AB74" s="28"/>
      <c r="AC74" s="28"/>
      <c r="AD74" s="28"/>
      <c r="AE74" s="28"/>
      <c r="AF74" s="28"/>
      <c r="AG74" s="28"/>
      <c r="AH74" s="115">
        <f t="shared" si="0"/>
        <v>0</v>
      </c>
    </row>
    <row r="75" spans="1:34">
      <c r="A75" t="s">
        <v>434</v>
      </c>
      <c r="B75" s="603" t="s">
        <v>432</v>
      </c>
      <c r="C75" s="5"/>
      <c r="D75" s="316"/>
      <c r="E75" s="37" t="s">
        <v>14</v>
      </c>
      <c r="F75" s="36" t="s">
        <v>13</v>
      </c>
      <c r="G75" s="36" t="str">
        <f>CONCATENATE(E75,F75)</f>
        <v>MISSIONManpower</v>
      </c>
      <c r="H75" s="60" t="s">
        <v>628</v>
      </c>
      <c r="J75" s="392"/>
      <c r="K75" s="123"/>
      <c r="L75" s="123"/>
      <c r="M75" s="123"/>
      <c r="N75" s="123"/>
      <c r="O75" s="123"/>
      <c r="P75" s="123"/>
      <c r="Q75" s="123"/>
      <c r="R75" s="28"/>
      <c r="S75" s="28"/>
      <c r="T75" s="28"/>
      <c r="U75" s="28"/>
      <c r="V75" s="28"/>
      <c r="W75" s="28"/>
      <c r="X75" s="28"/>
      <c r="Y75" s="30"/>
      <c r="Z75" s="29"/>
      <c r="AA75" s="28"/>
      <c r="AB75" s="28"/>
      <c r="AC75" s="28"/>
      <c r="AD75" s="28"/>
      <c r="AE75" s="28"/>
      <c r="AF75" s="28"/>
      <c r="AG75" s="28"/>
      <c r="AH75" s="115">
        <f t="shared" si="0"/>
        <v>0</v>
      </c>
    </row>
    <row r="76" spans="1:34">
      <c r="A76" t="s">
        <v>427</v>
      </c>
      <c r="B76" s="322" t="s">
        <v>629</v>
      </c>
      <c r="C76" s="5"/>
      <c r="D76" s="316"/>
      <c r="E76" s="36" t="s">
        <v>139</v>
      </c>
      <c r="F76" s="36" t="s">
        <v>13</v>
      </c>
      <c r="G76" s="36" t="str">
        <f>CONCATENATE(E76,F76)</f>
        <v>TECHManpower</v>
      </c>
      <c r="H76" s="16">
        <v>650000</v>
      </c>
      <c r="J76" s="123"/>
      <c r="K76" s="123"/>
      <c r="L76" s="123"/>
      <c r="M76" s="123"/>
      <c r="N76" s="123"/>
      <c r="O76" s="123"/>
      <c r="P76" s="123"/>
      <c r="Q76" s="123"/>
      <c r="R76" s="28"/>
      <c r="S76" s="28"/>
      <c r="T76" s="28"/>
      <c r="U76" s="28"/>
      <c r="V76" s="28"/>
      <c r="W76" s="28"/>
      <c r="X76" s="28"/>
      <c r="Y76" s="29"/>
      <c r="Z76" s="28"/>
      <c r="AA76" s="28"/>
      <c r="AB76" s="28"/>
      <c r="AC76" s="28"/>
      <c r="AD76" s="28"/>
      <c r="AE76" s="28"/>
      <c r="AF76" s="28"/>
      <c r="AG76" s="28"/>
      <c r="AH76" s="115">
        <f t="shared" si="0"/>
        <v>0</v>
      </c>
    </row>
    <row r="77" spans="1:34">
      <c r="A77" t="s">
        <v>396</v>
      </c>
      <c r="B77" s="322" t="s">
        <v>630</v>
      </c>
      <c r="C77" s="5"/>
      <c r="D77" s="316"/>
      <c r="E77" s="37" t="s">
        <v>14</v>
      </c>
      <c r="F77" s="37" t="s">
        <v>117</v>
      </c>
      <c r="G77" s="36" t="str">
        <f>CONCATENATE(E77,F77)</f>
        <v>MISSIONProcurement</v>
      </c>
      <c r="H77">
        <v>620100</v>
      </c>
      <c r="I77" s="18"/>
      <c r="J77" s="123"/>
      <c r="K77" s="123"/>
      <c r="L77" s="123"/>
      <c r="M77" s="123"/>
      <c r="N77" s="123"/>
      <c r="O77" s="123"/>
      <c r="P77" s="123"/>
      <c r="Q77" s="123"/>
      <c r="R77" s="28"/>
      <c r="S77" s="28"/>
      <c r="T77" s="28"/>
      <c r="U77" s="28"/>
      <c r="V77" s="28"/>
      <c r="W77" s="28"/>
      <c r="X77" s="28"/>
      <c r="Y77" s="28"/>
      <c r="Z77" s="28"/>
      <c r="AA77" s="28"/>
      <c r="AB77" s="28"/>
      <c r="AC77" s="28"/>
      <c r="AD77" s="28"/>
      <c r="AE77" s="28"/>
      <c r="AF77" s="28"/>
      <c r="AG77" s="28"/>
      <c r="AH77" s="115">
        <f t="shared" si="0"/>
        <v>0</v>
      </c>
    </row>
    <row r="78" spans="1:34" ht="15.75" thickBot="1">
      <c r="A78" t="s">
        <v>631</v>
      </c>
      <c r="B78" s="602" t="s">
        <v>632</v>
      </c>
      <c r="C78" s="318"/>
      <c r="D78" s="319"/>
      <c r="E78" s="37" t="s">
        <v>14</v>
      </c>
      <c r="F78" s="36" t="s">
        <v>117</v>
      </c>
      <c r="G78" s="36" t="str">
        <f>CONCATENATE(E78,F78)</f>
        <v>MISSIONProcurement</v>
      </c>
      <c r="H78" t="s">
        <v>643</v>
      </c>
      <c r="J78" s="123"/>
      <c r="K78" s="123"/>
      <c r="L78" s="123"/>
      <c r="M78" s="123"/>
      <c r="N78" s="123"/>
      <c r="O78" s="123"/>
      <c r="P78" s="123"/>
      <c r="Q78" s="123"/>
      <c r="R78" s="28"/>
      <c r="S78" s="28"/>
      <c r="T78" s="28"/>
      <c r="U78" s="28"/>
      <c r="V78" s="28"/>
      <c r="W78" s="28"/>
      <c r="X78" s="28"/>
      <c r="Y78" s="28"/>
      <c r="Z78" s="28"/>
      <c r="AA78" s="28"/>
      <c r="AB78" s="28"/>
      <c r="AC78" s="28"/>
      <c r="AD78" s="28"/>
      <c r="AE78" s="28"/>
      <c r="AF78" s="28"/>
      <c r="AG78" s="28"/>
      <c r="AH78" s="115">
        <f t="shared" si="0"/>
        <v>0</v>
      </c>
    </row>
    <row r="79" spans="1:34">
      <c r="A79" t="s">
        <v>633</v>
      </c>
      <c r="B79" s="25" t="s">
        <v>465</v>
      </c>
      <c r="C79" s="26"/>
      <c r="D79" s="27"/>
      <c r="H79"/>
      <c r="J79" s="123">
        <f>J81*0.2</f>
        <v>42.136158434782601</v>
      </c>
      <c r="K79" s="123">
        <f t="shared" ref="K79:AG79" si="1">K81*0.2</f>
        <v>42.136158434782601</v>
      </c>
      <c r="L79" s="123">
        <f t="shared" si="1"/>
        <v>42.136158434782601</v>
      </c>
      <c r="M79" s="123">
        <f t="shared" si="1"/>
        <v>63.557461913043454</v>
      </c>
      <c r="N79" s="123">
        <f t="shared" si="1"/>
        <v>56.60297669565216</v>
      </c>
      <c r="O79" s="123">
        <f t="shared" si="1"/>
        <v>56.60297669565216</v>
      </c>
      <c r="P79" s="123">
        <f t="shared" si="1"/>
        <v>40.690269391304341</v>
      </c>
      <c r="Q79" s="123">
        <f t="shared" si="1"/>
        <v>26.223451130434782</v>
      </c>
      <c r="R79" s="119">
        <f t="shared" si="1"/>
        <v>0</v>
      </c>
      <c r="S79" s="119">
        <f t="shared" si="1"/>
        <v>0</v>
      </c>
      <c r="T79" s="119">
        <f t="shared" si="1"/>
        <v>0</v>
      </c>
      <c r="U79" s="119">
        <f t="shared" si="1"/>
        <v>0</v>
      </c>
      <c r="V79" s="119">
        <f t="shared" si="1"/>
        <v>0</v>
      </c>
      <c r="W79" s="119">
        <f t="shared" si="1"/>
        <v>0</v>
      </c>
      <c r="X79" s="119">
        <f t="shared" si="1"/>
        <v>0</v>
      </c>
      <c r="Y79" s="119">
        <f t="shared" si="1"/>
        <v>0</v>
      </c>
      <c r="Z79" s="119">
        <f t="shared" si="1"/>
        <v>0</v>
      </c>
      <c r="AA79" s="119">
        <f t="shared" si="1"/>
        <v>0</v>
      </c>
      <c r="AB79" s="119">
        <f t="shared" si="1"/>
        <v>0</v>
      </c>
      <c r="AC79" s="119">
        <f t="shared" si="1"/>
        <v>0</v>
      </c>
      <c r="AD79" s="119">
        <f t="shared" si="1"/>
        <v>0</v>
      </c>
      <c r="AE79" s="119">
        <f t="shared" si="1"/>
        <v>0</v>
      </c>
      <c r="AF79" s="119">
        <f t="shared" si="1"/>
        <v>0</v>
      </c>
      <c r="AG79" s="119">
        <f t="shared" si="1"/>
        <v>0</v>
      </c>
      <c r="AH79" s="115">
        <f t="shared" ref="AH79" si="2">SUM(J79:AG79)</f>
        <v>370.0856111304347</v>
      </c>
    </row>
    <row r="80" spans="1:34">
      <c r="J80" s="115"/>
      <c r="K80" s="115"/>
      <c r="L80" s="115"/>
      <c r="M80" s="115"/>
      <c r="N80" s="115"/>
      <c r="O80" s="115"/>
      <c r="P80" s="115"/>
      <c r="Q80" s="115"/>
    </row>
    <row r="81" spans="2:37">
      <c r="B81" s="23" t="s">
        <v>634</v>
      </c>
      <c r="J81" s="115">
        <f>SUM(J14:J78)</f>
        <v>210.68079217391298</v>
      </c>
      <c r="K81" s="115">
        <f t="shared" ref="K81:AI81" si="3">SUM(K14:K78)</f>
        <v>210.68079217391298</v>
      </c>
      <c r="L81" s="115">
        <f t="shared" si="3"/>
        <v>210.68079217391298</v>
      </c>
      <c r="M81" s="115">
        <f t="shared" si="3"/>
        <v>317.78730956521724</v>
      </c>
      <c r="N81" s="115">
        <f t="shared" si="3"/>
        <v>283.0148834782608</v>
      </c>
      <c r="O81" s="115">
        <f t="shared" si="3"/>
        <v>283.0148834782608</v>
      </c>
      <c r="P81" s="115">
        <f t="shared" si="3"/>
        <v>203.45134695652169</v>
      </c>
      <c r="Q81" s="115">
        <f t="shared" si="3"/>
        <v>131.1172556521739</v>
      </c>
      <c r="R81">
        <f t="shared" si="3"/>
        <v>0</v>
      </c>
      <c r="S81">
        <f t="shared" si="3"/>
        <v>0</v>
      </c>
      <c r="T81">
        <f t="shared" si="3"/>
        <v>0</v>
      </c>
      <c r="U81">
        <f t="shared" si="3"/>
        <v>0</v>
      </c>
      <c r="V81">
        <f t="shared" si="3"/>
        <v>0</v>
      </c>
      <c r="W81">
        <f t="shared" si="3"/>
        <v>0</v>
      </c>
      <c r="X81">
        <f t="shared" si="3"/>
        <v>0</v>
      </c>
      <c r="Y81">
        <f t="shared" si="3"/>
        <v>0</v>
      </c>
      <c r="Z81">
        <f t="shared" si="3"/>
        <v>0</v>
      </c>
      <c r="AA81">
        <f t="shared" si="3"/>
        <v>0</v>
      </c>
      <c r="AB81">
        <f t="shared" si="3"/>
        <v>0</v>
      </c>
      <c r="AC81">
        <f t="shared" si="3"/>
        <v>0</v>
      </c>
      <c r="AD81">
        <f t="shared" si="3"/>
        <v>0</v>
      </c>
      <c r="AE81">
        <f t="shared" si="3"/>
        <v>0</v>
      </c>
      <c r="AF81">
        <f t="shared" si="3"/>
        <v>0</v>
      </c>
      <c r="AG81">
        <f t="shared" si="3"/>
        <v>0</v>
      </c>
      <c r="AH81" s="115">
        <f t="shared" si="3"/>
        <v>1850.4280556521735</v>
      </c>
      <c r="AI81">
        <f t="shared" si="3"/>
        <v>0</v>
      </c>
      <c r="AK81" s="124"/>
    </row>
    <row r="82" spans="2:37">
      <c r="B82" s="23" t="s">
        <v>635</v>
      </c>
      <c r="J82" s="115">
        <f>SUM(J79:J81)</f>
        <v>252.81695060869558</v>
      </c>
      <c r="K82" s="115">
        <f t="shared" ref="K82:AG82" si="4">SUM(K79:K81)</f>
        <v>252.81695060869558</v>
      </c>
      <c r="L82" s="115">
        <f t="shared" si="4"/>
        <v>252.81695060869558</v>
      </c>
      <c r="M82" s="115">
        <f t="shared" si="4"/>
        <v>381.34477147826067</v>
      </c>
      <c r="N82" s="115">
        <f t="shared" si="4"/>
        <v>339.61786017391296</v>
      </c>
      <c r="O82" s="115">
        <f t="shared" si="4"/>
        <v>339.61786017391296</v>
      </c>
      <c r="P82" s="115">
        <f t="shared" si="4"/>
        <v>244.14161634782602</v>
      </c>
      <c r="Q82" s="115">
        <f t="shared" si="4"/>
        <v>157.34070678260866</v>
      </c>
      <c r="R82">
        <f t="shared" si="4"/>
        <v>0</v>
      </c>
      <c r="S82">
        <f t="shared" si="4"/>
        <v>0</v>
      </c>
      <c r="T82">
        <f t="shared" si="4"/>
        <v>0</v>
      </c>
      <c r="U82">
        <f t="shared" si="4"/>
        <v>0</v>
      </c>
      <c r="V82">
        <f t="shared" si="4"/>
        <v>0</v>
      </c>
      <c r="W82">
        <f t="shared" si="4"/>
        <v>0</v>
      </c>
      <c r="X82">
        <f t="shared" si="4"/>
        <v>0</v>
      </c>
      <c r="Y82">
        <f t="shared" si="4"/>
        <v>0</v>
      </c>
      <c r="Z82">
        <f t="shared" si="4"/>
        <v>0</v>
      </c>
      <c r="AA82">
        <f t="shared" si="4"/>
        <v>0</v>
      </c>
      <c r="AB82">
        <f t="shared" si="4"/>
        <v>0</v>
      </c>
      <c r="AC82">
        <f t="shared" si="4"/>
        <v>0</v>
      </c>
      <c r="AD82">
        <f t="shared" si="4"/>
        <v>0</v>
      </c>
      <c r="AE82">
        <f t="shared" si="4"/>
        <v>0</v>
      </c>
      <c r="AF82">
        <f t="shared" si="4"/>
        <v>0</v>
      </c>
      <c r="AG82">
        <f t="shared" si="4"/>
        <v>0</v>
      </c>
      <c r="AH82" s="115">
        <f t="shared" ref="AH82" si="5">SUM(J82:AG82)</f>
        <v>2220.5136667826082</v>
      </c>
      <c r="AI82" s="16"/>
    </row>
    <row r="83" spans="2:37" ht="15.75" thickBot="1">
      <c r="J83" s="115"/>
      <c r="K83" s="115"/>
      <c r="L83" s="115"/>
      <c r="M83" s="115"/>
      <c r="N83" s="115"/>
      <c r="O83" s="115"/>
      <c r="P83" s="115"/>
      <c r="Q83" s="115"/>
    </row>
    <row r="84" spans="2:37">
      <c r="E84" s="256" t="s">
        <v>12</v>
      </c>
      <c r="F84" s="257" t="s">
        <v>13</v>
      </c>
      <c r="G84" s="257" t="str">
        <f>CONCATENATE(E84,F84)</f>
        <v>MGTManpower</v>
      </c>
      <c r="H84" s="257"/>
      <c r="I84" s="274"/>
      <c r="J84" s="268">
        <f>SUMIF($G$14:$G$79,$G84,J$14:J$79)</f>
        <v>21.4195426086957</v>
      </c>
      <c r="K84" s="258">
        <f t="shared" ref="K84:AH88" si="6">SUMIF($G$14:$G$79,$G84,K$14:K$79)</f>
        <v>21.4195426086957</v>
      </c>
      <c r="L84" s="258">
        <f t="shared" si="6"/>
        <v>21.4195426086957</v>
      </c>
      <c r="M84" s="258">
        <f t="shared" si="6"/>
        <v>21.4195426086957</v>
      </c>
      <c r="N84" s="258">
        <f t="shared" si="6"/>
        <v>21.4195426086957</v>
      </c>
      <c r="O84" s="258">
        <f t="shared" si="6"/>
        <v>21.4195426086957</v>
      </c>
      <c r="P84" s="258">
        <f t="shared" si="6"/>
        <v>21.4195426086957</v>
      </c>
      <c r="Q84" s="258">
        <f t="shared" si="6"/>
        <v>21.4195426086957</v>
      </c>
      <c r="R84" s="258">
        <f t="shared" si="6"/>
        <v>0</v>
      </c>
      <c r="S84" s="258">
        <f t="shared" si="6"/>
        <v>0</v>
      </c>
      <c r="T84" s="258">
        <f t="shared" si="6"/>
        <v>0</v>
      </c>
      <c r="U84" s="258">
        <f t="shared" si="6"/>
        <v>0</v>
      </c>
      <c r="V84" s="258">
        <f t="shared" si="6"/>
        <v>0</v>
      </c>
      <c r="W84" s="258">
        <f t="shared" si="6"/>
        <v>0</v>
      </c>
      <c r="X84" s="258">
        <f t="shared" si="6"/>
        <v>0</v>
      </c>
      <c r="Y84" s="258">
        <f t="shared" si="6"/>
        <v>0</v>
      </c>
      <c r="Z84" s="258">
        <f t="shared" si="6"/>
        <v>0</v>
      </c>
      <c r="AA84" s="258">
        <f t="shared" si="6"/>
        <v>0</v>
      </c>
      <c r="AB84" s="258">
        <f t="shared" si="6"/>
        <v>0</v>
      </c>
      <c r="AC84" s="258">
        <f t="shared" si="6"/>
        <v>0</v>
      </c>
      <c r="AD84" s="258">
        <f t="shared" si="6"/>
        <v>0</v>
      </c>
      <c r="AE84" s="258">
        <f t="shared" si="6"/>
        <v>0</v>
      </c>
      <c r="AF84" s="258">
        <f t="shared" si="6"/>
        <v>0</v>
      </c>
      <c r="AG84" s="259">
        <f t="shared" si="6"/>
        <v>0</v>
      </c>
      <c r="AH84" s="271">
        <f t="shared" si="6"/>
        <v>171.35634086956563</v>
      </c>
    </row>
    <row r="85" spans="2:37">
      <c r="E85" s="260" t="s">
        <v>14</v>
      </c>
      <c r="F85" s="36" t="s">
        <v>13</v>
      </c>
      <c r="G85" s="36" t="str">
        <f>CONCATENATE(E85,F85)</f>
        <v>MISSIONManpower</v>
      </c>
      <c r="I85" s="275"/>
      <c r="J85" s="269">
        <f t="shared" ref="J85:Y88" si="7">SUMIF($G$14:$G$79,$G85,J$14:J$79)</f>
        <v>40.152860869565203</v>
      </c>
      <c r="K85" s="261">
        <f t="shared" si="7"/>
        <v>40.152860869565203</v>
      </c>
      <c r="L85" s="261">
        <f t="shared" si="7"/>
        <v>40.152860869565203</v>
      </c>
      <c r="M85" s="261">
        <f t="shared" si="7"/>
        <v>40.152860869565203</v>
      </c>
      <c r="N85" s="261">
        <f t="shared" si="7"/>
        <v>40.152860869565203</v>
      </c>
      <c r="O85" s="261">
        <f t="shared" si="7"/>
        <v>40.152860869565203</v>
      </c>
      <c r="P85" s="261">
        <f t="shared" si="7"/>
        <v>40.152860869565203</v>
      </c>
      <c r="Q85" s="261">
        <f t="shared" si="7"/>
        <v>40.152860869565203</v>
      </c>
      <c r="R85" s="261">
        <f t="shared" si="7"/>
        <v>0</v>
      </c>
      <c r="S85" s="261">
        <f t="shared" si="7"/>
        <v>0</v>
      </c>
      <c r="T85" s="261">
        <f t="shared" si="7"/>
        <v>0</v>
      </c>
      <c r="U85" s="261">
        <f t="shared" si="7"/>
        <v>0</v>
      </c>
      <c r="V85" s="261">
        <f t="shared" si="7"/>
        <v>0</v>
      </c>
      <c r="W85" s="261">
        <f t="shared" si="7"/>
        <v>0</v>
      </c>
      <c r="X85" s="261">
        <f t="shared" si="7"/>
        <v>0</v>
      </c>
      <c r="Y85" s="261">
        <f t="shared" si="7"/>
        <v>0</v>
      </c>
      <c r="Z85" s="261">
        <f t="shared" si="6"/>
        <v>0</v>
      </c>
      <c r="AA85" s="261">
        <f t="shared" si="6"/>
        <v>0</v>
      </c>
      <c r="AB85" s="261">
        <f t="shared" si="6"/>
        <v>0</v>
      </c>
      <c r="AC85" s="261">
        <f t="shared" si="6"/>
        <v>0</v>
      </c>
      <c r="AD85" s="261">
        <f t="shared" si="6"/>
        <v>0</v>
      </c>
      <c r="AE85" s="261">
        <f t="shared" si="6"/>
        <v>0</v>
      </c>
      <c r="AF85" s="261">
        <f t="shared" si="6"/>
        <v>0</v>
      </c>
      <c r="AG85" s="262">
        <f t="shared" si="6"/>
        <v>0</v>
      </c>
      <c r="AH85" s="272">
        <f t="shared" si="6"/>
        <v>321.22288695652156</v>
      </c>
    </row>
    <row r="86" spans="2:37" ht="15.75" thickBot="1">
      <c r="E86" s="263" t="s">
        <v>139</v>
      </c>
      <c r="F86" s="264" t="s">
        <v>13</v>
      </c>
      <c r="G86" s="264" t="str">
        <f>CONCATENATE(E86,F86)</f>
        <v>TECHManpower</v>
      </c>
      <c r="H86" s="264"/>
      <c r="I86" s="276"/>
      <c r="J86" s="270">
        <f t="shared" si="7"/>
        <v>149.10838869565208</v>
      </c>
      <c r="K86" s="266">
        <f t="shared" si="6"/>
        <v>149.10838869565208</v>
      </c>
      <c r="L86" s="266">
        <f t="shared" si="6"/>
        <v>149.10838869565208</v>
      </c>
      <c r="M86" s="266">
        <f t="shared" si="6"/>
        <v>256.21490608695638</v>
      </c>
      <c r="N86" s="266">
        <f t="shared" si="6"/>
        <v>221.44247999999988</v>
      </c>
      <c r="O86" s="266">
        <f t="shared" si="6"/>
        <v>221.44247999999988</v>
      </c>
      <c r="P86" s="266">
        <f t="shared" si="6"/>
        <v>141.87894347826079</v>
      </c>
      <c r="Q86" s="266">
        <f t="shared" si="6"/>
        <v>69.544852173913</v>
      </c>
      <c r="R86" s="266">
        <f t="shared" si="6"/>
        <v>0</v>
      </c>
      <c r="S86" s="266">
        <f t="shared" si="6"/>
        <v>0</v>
      </c>
      <c r="T86" s="266">
        <f t="shared" si="6"/>
        <v>0</v>
      </c>
      <c r="U86" s="266">
        <f t="shared" si="6"/>
        <v>0</v>
      </c>
      <c r="V86" s="266">
        <f t="shared" si="6"/>
        <v>0</v>
      </c>
      <c r="W86" s="266">
        <f t="shared" si="6"/>
        <v>0</v>
      </c>
      <c r="X86" s="266">
        <f t="shared" si="6"/>
        <v>0</v>
      </c>
      <c r="Y86" s="266">
        <f t="shared" si="6"/>
        <v>0</v>
      </c>
      <c r="Z86" s="266">
        <f t="shared" si="6"/>
        <v>0</v>
      </c>
      <c r="AA86" s="266">
        <f t="shared" si="6"/>
        <v>0</v>
      </c>
      <c r="AB86" s="266">
        <f t="shared" si="6"/>
        <v>0</v>
      </c>
      <c r="AC86" s="266">
        <f t="shared" si="6"/>
        <v>0</v>
      </c>
      <c r="AD86" s="266">
        <f t="shared" si="6"/>
        <v>0</v>
      </c>
      <c r="AE86" s="266">
        <f t="shared" si="6"/>
        <v>0</v>
      </c>
      <c r="AF86" s="266">
        <f t="shared" si="6"/>
        <v>0</v>
      </c>
      <c r="AG86" s="267">
        <f t="shared" si="6"/>
        <v>0</v>
      </c>
      <c r="AH86" s="273">
        <f t="shared" si="6"/>
        <v>1357.8488278260863</v>
      </c>
    </row>
    <row r="87" spans="2:37">
      <c r="E87" s="260" t="s">
        <v>14</v>
      </c>
      <c r="F87" s="37" t="s">
        <v>117</v>
      </c>
      <c r="G87" s="36" t="str">
        <f>CONCATENATE(E87,F87)</f>
        <v>MISSIONProcurement</v>
      </c>
      <c r="H87" s="37"/>
      <c r="J87" s="269">
        <f t="shared" si="7"/>
        <v>0</v>
      </c>
      <c r="K87" s="261">
        <f t="shared" si="6"/>
        <v>0</v>
      </c>
      <c r="L87" s="261">
        <f t="shared" si="6"/>
        <v>0</v>
      </c>
      <c r="M87" s="261">
        <f t="shared" si="6"/>
        <v>0</v>
      </c>
      <c r="N87" s="261">
        <f t="shared" si="6"/>
        <v>0</v>
      </c>
      <c r="O87" s="261">
        <f t="shared" si="6"/>
        <v>0</v>
      </c>
      <c r="P87" s="261">
        <f t="shared" si="6"/>
        <v>0</v>
      </c>
      <c r="Q87" s="261">
        <f t="shared" si="6"/>
        <v>0</v>
      </c>
      <c r="R87" s="261">
        <f t="shared" si="6"/>
        <v>0</v>
      </c>
      <c r="S87" s="261">
        <f t="shared" si="6"/>
        <v>0</v>
      </c>
      <c r="T87" s="261">
        <f t="shared" si="6"/>
        <v>0</v>
      </c>
      <c r="U87" s="261">
        <f t="shared" si="6"/>
        <v>0</v>
      </c>
      <c r="V87" s="261">
        <f t="shared" si="6"/>
        <v>0</v>
      </c>
      <c r="W87" s="261">
        <f t="shared" si="6"/>
        <v>0</v>
      </c>
      <c r="X87" s="261">
        <f t="shared" si="6"/>
        <v>0</v>
      </c>
      <c r="Y87" s="261">
        <f t="shared" si="6"/>
        <v>0</v>
      </c>
      <c r="Z87" s="261">
        <f t="shared" si="6"/>
        <v>0</v>
      </c>
      <c r="AA87" s="261">
        <f t="shared" si="6"/>
        <v>0</v>
      </c>
      <c r="AB87" s="261">
        <f t="shared" si="6"/>
        <v>0</v>
      </c>
      <c r="AC87" s="261">
        <f t="shared" si="6"/>
        <v>0</v>
      </c>
      <c r="AD87" s="261">
        <f t="shared" si="6"/>
        <v>0</v>
      </c>
      <c r="AE87" s="261">
        <f t="shared" si="6"/>
        <v>0</v>
      </c>
      <c r="AF87" s="261">
        <f t="shared" si="6"/>
        <v>0</v>
      </c>
      <c r="AG87" s="262">
        <f t="shared" si="6"/>
        <v>0</v>
      </c>
      <c r="AH87" s="262">
        <f t="shared" si="6"/>
        <v>0</v>
      </c>
    </row>
    <row r="88" spans="2:37" ht="15.75" thickBot="1">
      <c r="E88" s="263" t="s">
        <v>139</v>
      </c>
      <c r="F88" s="264" t="s">
        <v>117</v>
      </c>
      <c r="G88" s="264" t="str">
        <f>CONCATENATE(E88,F88)</f>
        <v>TECHProcurement</v>
      </c>
      <c r="H88" s="264"/>
      <c r="I88" s="265"/>
      <c r="J88" s="270">
        <f t="shared" si="7"/>
        <v>0</v>
      </c>
      <c r="K88" s="266">
        <f t="shared" si="6"/>
        <v>0</v>
      </c>
      <c r="L88" s="266">
        <f t="shared" si="6"/>
        <v>0</v>
      </c>
      <c r="M88" s="266">
        <f t="shared" si="6"/>
        <v>0</v>
      </c>
      <c r="N88" s="266">
        <f t="shared" si="6"/>
        <v>0</v>
      </c>
      <c r="O88" s="266">
        <f t="shared" si="6"/>
        <v>0</v>
      </c>
      <c r="P88" s="266">
        <f t="shared" si="6"/>
        <v>0</v>
      </c>
      <c r="Q88" s="266">
        <f t="shared" si="6"/>
        <v>0</v>
      </c>
      <c r="R88" s="266">
        <f t="shared" si="6"/>
        <v>0</v>
      </c>
      <c r="S88" s="266">
        <f t="shared" si="6"/>
        <v>0</v>
      </c>
      <c r="T88" s="266">
        <f t="shared" si="6"/>
        <v>0</v>
      </c>
      <c r="U88" s="266">
        <f t="shared" si="6"/>
        <v>0</v>
      </c>
      <c r="V88" s="266">
        <f t="shared" si="6"/>
        <v>0</v>
      </c>
      <c r="W88" s="266">
        <f t="shared" si="6"/>
        <v>0</v>
      </c>
      <c r="X88" s="266">
        <f t="shared" si="6"/>
        <v>0</v>
      </c>
      <c r="Y88" s="266">
        <f t="shared" si="6"/>
        <v>0</v>
      </c>
      <c r="Z88" s="266">
        <f t="shared" si="6"/>
        <v>0</v>
      </c>
      <c r="AA88" s="266">
        <f t="shared" si="6"/>
        <v>0</v>
      </c>
      <c r="AB88" s="266">
        <f t="shared" si="6"/>
        <v>0</v>
      </c>
      <c r="AC88" s="266">
        <f t="shared" si="6"/>
        <v>0</v>
      </c>
      <c r="AD88" s="266">
        <f t="shared" si="6"/>
        <v>0</v>
      </c>
      <c r="AE88" s="266">
        <f t="shared" si="6"/>
        <v>0</v>
      </c>
      <c r="AF88" s="266">
        <f t="shared" si="6"/>
        <v>0</v>
      </c>
      <c r="AG88" s="267">
        <f t="shared" si="6"/>
        <v>0</v>
      </c>
      <c r="AH88" s="267">
        <f t="shared" si="6"/>
        <v>0</v>
      </c>
    </row>
    <row r="89" spans="2:37">
      <c r="J89" s="115"/>
      <c r="K89" s="115"/>
      <c r="L89" s="115"/>
      <c r="M89" s="115"/>
      <c r="N89" s="115"/>
      <c r="O89" s="115"/>
      <c r="P89" s="115"/>
      <c r="Q89" s="115"/>
    </row>
    <row r="90" spans="2:37">
      <c r="J90" s="115">
        <f t="shared" ref="J90:AH90" si="8">SUM(J84:J88)</f>
        <v>210.68079217391298</v>
      </c>
      <c r="K90" s="115">
        <f t="shared" si="8"/>
        <v>210.68079217391298</v>
      </c>
      <c r="L90" s="115">
        <f t="shared" si="8"/>
        <v>210.68079217391298</v>
      </c>
      <c r="M90" s="115">
        <f t="shared" si="8"/>
        <v>317.7873095652173</v>
      </c>
      <c r="N90" s="115">
        <f t="shared" si="8"/>
        <v>283.0148834782608</v>
      </c>
      <c r="O90" s="115">
        <f t="shared" si="8"/>
        <v>283.0148834782608</v>
      </c>
      <c r="P90" s="115">
        <f t="shared" si="8"/>
        <v>203.45134695652169</v>
      </c>
      <c r="Q90" s="115">
        <f t="shared" si="8"/>
        <v>131.1172556521739</v>
      </c>
      <c r="R90" s="124">
        <f t="shared" si="8"/>
        <v>0</v>
      </c>
      <c r="S90" s="124">
        <f t="shared" si="8"/>
        <v>0</v>
      </c>
      <c r="T90" s="124">
        <f t="shared" si="8"/>
        <v>0</v>
      </c>
      <c r="U90" s="124">
        <f t="shared" si="8"/>
        <v>0</v>
      </c>
      <c r="V90" s="124">
        <f t="shared" si="8"/>
        <v>0</v>
      </c>
      <c r="W90" s="124">
        <f t="shared" si="8"/>
        <v>0</v>
      </c>
      <c r="X90" s="124">
        <f t="shared" si="8"/>
        <v>0</v>
      </c>
      <c r="Y90" s="124">
        <f t="shared" si="8"/>
        <v>0</v>
      </c>
      <c r="Z90" s="124">
        <f t="shared" si="8"/>
        <v>0</v>
      </c>
      <c r="AA90" s="124">
        <f t="shared" si="8"/>
        <v>0</v>
      </c>
      <c r="AB90" s="124">
        <f t="shared" si="8"/>
        <v>0</v>
      </c>
      <c r="AC90" s="124">
        <f t="shared" si="8"/>
        <v>0</v>
      </c>
      <c r="AD90" s="124">
        <f t="shared" si="8"/>
        <v>0</v>
      </c>
      <c r="AE90" s="124">
        <f t="shared" si="8"/>
        <v>0</v>
      </c>
      <c r="AF90" s="124">
        <f t="shared" si="8"/>
        <v>0</v>
      </c>
      <c r="AG90" s="124">
        <f t="shared" si="8"/>
        <v>0</v>
      </c>
      <c r="AH90" s="115">
        <f t="shared" si="8"/>
        <v>1850.4280556521735</v>
      </c>
    </row>
    <row r="92" spans="2:37">
      <c r="J92" s="608"/>
      <c r="K92" s="608"/>
      <c r="L92" s="608"/>
      <c r="M92" s="608"/>
      <c r="N92" s="608"/>
      <c r="O92" s="608"/>
      <c r="P92" s="608"/>
      <c r="Q92" s="608"/>
    </row>
  </sheetData>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0.499984740745262"/>
  </sheetPr>
  <dimension ref="A3:Y37"/>
  <sheetViews>
    <sheetView workbookViewId="0">
      <selection activeCell="AR78" sqref="AR78"/>
    </sheetView>
  </sheetViews>
  <sheetFormatPr defaultColWidth="11.42578125" defaultRowHeight="15"/>
  <cols>
    <col min="2" max="2" width="24.140625" customWidth="1"/>
    <col min="6" max="6" width="15.7109375" bestFit="1" customWidth="1"/>
    <col min="7" max="7" width="18" customWidth="1"/>
    <col min="9" max="9" width="30.140625" customWidth="1"/>
    <col min="10" max="17" width="12.42578125" bestFit="1" customWidth="1"/>
  </cols>
  <sheetData>
    <row r="3" spans="1:19" ht="15.75">
      <c r="J3" s="611">
        <v>2020</v>
      </c>
      <c r="N3" s="611">
        <v>2021</v>
      </c>
    </row>
    <row r="4" spans="1:19" ht="45.75" thickBot="1">
      <c r="A4" t="s">
        <v>22</v>
      </c>
      <c r="C4" s="194" t="s">
        <v>872</v>
      </c>
      <c r="D4" s="194" t="s">
        <v>873</v>
      </c>
      <c r="E4" s="195" t="s">
        <v>466</v>
      </c>
      <c r="F4" s="196" t="s">
        <v>874</v>
      </c>
      <c r="G4" s="197" t="s">
        <v>875</v>
      </c>
      <c r="H4" s="611"/>
      <c r="I4" s="611"/>
      <c r="J4" t="s">
        <v>548</v>
      </c>
      <c r="K4" t="s">
        <v>549</v>
      </c>
      <c r="L4" t="s">
        <v>550</v>
      </c>
      <c r="M4" t="s">
        <v>551</v>
      </c>
      <c r="N4" t="s">
        <v>548</v>
      </c>
      <c r="O4" t="s">
        <v>549</v>
      </c>
      <c r="P4" t="s">
        <v>550</v>
      </c>
      <c r="Q4" t="s">
        <v>551</v>
      </c>
      <c r="R4" s="611"/>
      <c r="S4" s="611"/>
    </row>
    <row r="5" spans="1:19" ht="16.5" thickTop="1">
      <c r="A5" t="s">
        <v>32</v>
      </c>
      <c r="B5" t="str">
        <f>VLOOKUP(A5,'Price Table 8 EPFL'!A:B,2,FALSE)</f>
        <v>Management</v>
      </c>
      <c r="C5" s="198">
        <v>1</v>
      </c>
      <c r="D5" s="199">
        <v>8</v>
      </c>
      <c r="E5" s="200">
        <v>8</v>
      </c>
      <c r="F5" s="201">
        <f>SUM(J5:Q5)</f>
        <v>171.35634086956563</v>
      </c>
      <c r="G5" s="202" t="s">
        <v>876</v>
      </c>
      <c r="H5" s="612" t="s">
        <v>877</v>
      </c>
      <c r="I5" s="613" t="s">
        <v>30</v>
      </c>
      <c r="J5" s="614">
        <f>21419.5426086957/1000</f>
        <v>21.4195426086957</v>
      </c>
      <c r="K5" s="614">
        <f t="shared" ref="K5:Q5" si="0">21419.5426086957/1000</f>
        <v>21.4195426086957</v>
      </c>
      <c r="L5" s="614">
        <f t="shared" si="0"/>
        <v>21.4195426086957</v>
      </c>
      <c r="M5" s="614">
        <f t="shared" si="0"/>
        <v>21.4195426086957</v>
      </c>
      <c r="N5" s="614">
        <f t="shared" si="0"/>
        <v>21.4195426086957</v>
      </c>
      <c r="O5" s="614">
        <f t="shared" si="0"/>
        <v>21.4195426086957</v>
      </c>
      <c r="P5" s="614">
        <f t="shared" si="0"/>
        <v>21.4195426086957</v>
      </c>
      <c r="Q5" s="614">
        <f t="shared" si="0"/>
        <v>21.4195426086957</v>
      </c>
      <c r="R5" s="203">
        <v>171356.34086956523</v>
      </c>
      <c r="S5" s="204"/>
    </row>
    <row r="6" spans="1:19" ht="15.75">
      <c r="C6" s="198"/>
      <c r="D6" s="199"/>
      <c r="E6" s="200"/>
      <c r="F6" s="201"/>
      <c r="G6" s="202" t="s">
        <v>878</v>
      </c>
      <c r="H6" s="612" t="s">
        <v>877</v>
      </c>
      <c r="I6" s="613" t="s">
        <v>30</v>
      </c>
      <c r="J6" s="615">
        <v>245.75</v>
      </c>
      <c r="K6" s="615">
        <v>245.75</v>
      </c>
      <c r="L6" s="615">
        <v>245.75</v>
      </c>
      <c r="M6" s="615">
        <v>245.75</v>
      </c>
      <c r="N6" s="615">
        <v>245.75</v>
      </c>
      <c r="O6" s="615">
        <v>245.75</v>
      </c>
      <c r="P6" s="615">
        <v>245.75</v>
      </c>
      <c r="Q6" s="615">
        <v>245.75</v>
      </c>
      <c r="R6" s="203"/>
      <c r="S6" s="204"/>
    </row>
    <row r="7" spans="1:19" ht="15.75">
      <c r="C7" s="198"/>
      <c r="D7" s="199"/>
      <c r="E7" s="200"/>
      <c r="F7" s="201"/>
      <c r="G7" s="202" t="s">
        <v>29</v>
      </c>
      <c r="H7" s="612" t="s">
        <v>877</v>
      </c>
      <c r="I7" s="613" t="s">
        <v>30</v>
      </c>
      <c r="J7" s="616">
        <v>0.15359375</v>
      </c>
      <c r="K7" s="616">
        <v>0.15359375</v>
      </c>
      <c r="L7" s="616">
        <v>0.15359375</v>
      </c>
      <c r="M7" s="616">
        <v>0.15359375</v>
      </c>
      <c r="N7" s="616">
        <v>0.15359375</v>
      </c>
      <c r="O7" s="616">
        <v>0.15359375</v>
      </c>
      <c r="P7" s="616">
        <v>0.15359375</v>
      </c>
      <c r="Q7" s="616">
        <v>0.15359375</v>
      </c>
      <c r="R7" s="203"/>
      <c r="S7" s="204"/>
    </row>
    <row r="8" spans="1:19" ht="15.75">
      <c r="A8" t="s">
        <v>120</v>
      </c>
      <c r="B8" t="str">
        <f>VLOOKUP(A8,'Price Table 8 EPFL'!A:B,2,FALSE)</f>
        <v>Flight Systems Engineering</v>
      </c>
      <c r="C8" s="205">
        <v>1</v>
      </c>
      <c r="D8" s="206">
        <v>8</v>
      </c>
      <c r="E8" s="200">
        <v>8</v>
      </c>
      <c r="F8" s="201">
        <f t="shared" ref="F8:F15" si="1">SUM(J8:Q8)</f>
        <v>321.22288695652156</v>
      </c>
      <c r="G8" s="207"/>
      <c r="H8" s="612" t="s">
        <v>879</v>
      </c>
      <c r="I8" s="613" t="s">
        <v>880</v>
      </c>
      <c r="J8" s="614">
        <f>40152.8608695652/1000</f>
        <v>40.152860869565203</v>
      </c>
      <c r="K8" s="614">
        <f t="shared" ref="K8:Q8" si="2">40152.8608695652/1000</f>
        <v>40.152860869565203</v>
      </c>
      <c r="L8" s="614">
        <f t="shared" si="2"/>
        <v>40.152860869565203</v>
      </c>
      <c r="M8" s="614">
        <f t="shared" si="2"/>
        <v>40.152860869565203</v>
      </c>
      <c r="N8" s="614">
        <f t="shared" si="2"/>
        <v>40.152860869565203</v>
      </c>
      <c r="O8" s="614">
        <f t="shared" si="2"/>
        <v>40.152860869565203</v>
      </c>
      <c r="P8" s="614">
        <f t="shared" si="2"/>
        <v>40.152860869565203</v>
      </c>
      <c r="Q8" s="614">
        <f t="shared" si="2"/>
        <v>40.152860869565203</v>
      </c>
      <c r="R8" s="203">
        <v>321222.88695652172</v>
      </c>
      <c r="S8" s="204"/>
    </row>
    <row r="9" spans="1:19" ht="15.75">
      <c r="A9" t="s">
        <v>230</v>
      </c>
      <c r="B9" t="str">
        <f>VLOOKUP(A9,'Price Table 8 EPFL'!A:B,2,FALSE)</f>
        <v>RVSP - Engineering and SW</v>
      </c>
      <c r="C9" s="205">
        <v>1</v>
      </c>
      <c r="D9" s="206">
        <v>4</v>
      </c>
      <c r="E9" s="200">
        <v>4</v>
      </c>
      <c r="F9" s="201">
        <f t="shared" si="1"/>
        <v>34.7724260869565</v>
      </c>
      <c r="G9" s="207"/>
      <c r="H9" s="612" t="s">
        <v>881</v>
      </c>
      <c r="I9" s="613" t="s">
        <v>882</v>
      </c>
      <c r="J9" s="614">
        <v>0</v>
      </c>
      <c r="K9" s="614">
        <v>0</v>
      </c>
      <c r="L9" s="538">
        <v>0</v>
      </c>
      <c r="M9" s="614">
        <f>34772.4260869565/1000</f>
        <v>34.7724260869565</v>
      </c>
      <c r="N9" s="614"/>
      <c r="O9" s="615" t="s">
        <v>883</v>
      </c>
      <c r="P9" s="615" t="s">
        <v>883</v>
      </c>
      <c r="Q9" s="615" t="s">
        <v>883</v>
      </c>
      <c r="R9" s="203">
        <v>139089.70434782607</v>
      </c>
      <c r="S9" s="204"/>
    </row>
    <row r="10" spans="1:19" ht="31.5">
      <c r="A10" t="s">
        <v>230</v>
      </c>
      <c r="B10" t="str">
        <f>VLOOKUP(A10,'Price Table 8 EPFL'!A:B,2,FALSE)</f>
        <v>RVSP - Engineering and SW</v>
      </c>
      <c r="C10" s="205">
        <v>1</v>
      </c>
      <c r="D10" s="206">
        <v>8</v>
      </c>
      <c r="E10" s="200">
        <v>8</v>
      </c>
      <c r="F10" s="201">
        <f t="shared" si="1"/>
        <v>146.7466608695652</v>
      </c>
      <c r="G10" s="207"/>
      <c r="H10" s="612" t="s">
        <v>884</v>
      </c>
      <c r="I10" s="613" t="s">
        <v>885</v>
      </c>
      <c r="J10" s="615"/>
      <c r="K10" s="615"/>
      <c r="L10" s="615"/>
      <c r="M10" s="615">
        <f t="shared" ref="M10:P10" si="3">36686.6652173913/1000</f>
        <v>36.686665217391301</v>
      </c>
      <c r="N10" s="615">
        <f t="shared" si="3"/>
        <v>36.686665217391301</v>
      </c>
      <c r="O10" s="615">
        <f t="shared" si="3"/>
        <v>36.686665217391301</v>
      </c>
      <c r="P10" s="615">
        <f t="shared" si="3"/>
        <v>36.686665217391301</v>
      </c>
      <c r="Q10" s="615"/>
      <c r="R10" s="203">
        <v>293493.32173913042</v>
      </c>
      <c r="S10" s="204"/>
    </row>
    <row r="11" spans="1:19" ht="31.5">
      <c r="A11" t="s">
        <v>230</v>
      </c>
      <c r="B11" t="str">
        <f>VLOOKUP(A11,'Price Table 8 EPFL'!A:B,2,FALSE)</f>
        <v>RVSP - Engineering and SW</v>
      </c>
      <c r="C11" s="205">
        <v>1</v>
      </c>
      <c r="D11" s="206">
        <v>8</v>
      </c>
      <c r="E11" s="200">
        <v>8</v>
      </c>
      <c r="F11" s="201">
        <f t="shared" si="1"/>
        <v>142.589704347826</v>
      </c>
      <c r="G11" s="207"/>
      <c r="H11" s="612" t="s">
        <v>886</v>
      </c>
      <c r="I11" s="613" t="s">
        <v>887</v>
      </c>
      <c r="J11" s="615"/>
      <c r="K11" s="615"/>
      <c r="L11" s="615"/>
      <c r="M11" s="615">
        <f t="shared" ref="M11:P11" si="4">35647.4260869565/1000</f>
        <v>35.6474260869565</v>
      </c>
      <c r="N11" s="615">
        <f t="shared" si="4"/>
        <v>35.6474260869565</v>
      </c>
      <c r="O11" s="615">
        <f t="shared" si="4"/>
        <v>35.6474260869565</v>
      </c>
      <c r="P11" s="615">
        <f t="shared" si="4"/>
        <v>35.6474260869565</v>
      </c>
      <c r="Q11" s="615"/>
      <c r="R11" s="203">
        <v>285179.40869565215</v>
      </c>
      <c r="S11" s="204"/>
    </row>
    <row r="12" spans="1:19" ht="31.5">
      <c r="A12" t="s">
        <v>293</v>
      </c>
      <c r="B12" t="str">
        <f>VLOOKUP(A12,'Price Table 8 EPFL'!A:B,2,FALSE)</f>
        <v>CS - Engineering and SW</v>
      </c>
      <c r="C12" s="205">
        <v>1</v>
      </c>
      <c r="D12" s="206">
        <v>8</v>
      </c>
      <c r="E12" s="200">
        <v>8</v>
      </c>
      <c r="F12" s="201">
        <f t="shared" si="1"/>
        <v>278.179408695652</v>
      </c>
      <c r="G12" s="207"/>
      <c r="H12" s="612" t="s">
        <v>888</v>
      </c>
      <c r="I12" s="613" t="s">
        <v>307</v>
      </c>
      <c r="J12" s="615">
        <f>34772.4260869565/1000</f>
        <v>34.7724260869565</v>
      </c>
      <c r="K12" s="615">
        <f t="shared" ref="K12:Q12" si="5">34772.4260869565/1000</f>
        <v>34.7724260869565</v>
      </c>
      <c r="L12" s="615">
        <f t="shared" si="5"/>
        <v>34.7724260869565</v>
      </c>
      <c r="M12" s="615">
        <f t="shared" si="5"/>
        <v>34.7724260869565</v>
      </c>
      <c r="N12" s="615">
        <f t="shared" si="5"/>
        <v>34.7724260869565</v>
      </c>
      <c r="O12" s="615">
        <f t="shared" si="5"/>
        <v>34.7724260869565</v>
      </c>
      <c r="P12" s="615">
        <f t="shared" si="5"/>
        <v>34.7724260869565</v>
      </c>
      <c r="Q12" s="615">
        <f t="shared" si="5"/>
        <v>34.7724260869565</v>
      </c>
      <c r="R12" s="203">
        <v>278179.40869565215</v>
      </c>
      <c r="S12" s="204"/>
    </row>
    <row r="13" spans="1:19" ht="31.5">
      <c r="A13" t="s">
        <v>293</v>
      </c>
      <c r="B13" t="str">
        <f>VLOOKUP(A13,'Price Table 8 EPFL'!A:B,2,FALSE)</f>
        <v>CS - Engineering and SW</v>
      </c>
      <c r="C13" s="205">
        <v>1</v>
      </c>
      <c r="D13" s="206">
        <v>6</v>
      </c>
      <c r="E13" s="200">
        <v>6</v>
      </c>
      <c r="F13" s="201">
        <f t="shared" si="1"/>
        <v>268.74666260869554</v>
      </c>
      <c r="G13" s="207"/>
      <c r="H13" s="612" t="s">
        <v>889</v>
      </c>
      <c r="I13" s="613" t="s">
        <v>890</v>
      </c>
      <c r="J13" s="615">
        <f>44791.1104347826/1000</f>
        <v>44.791110434782595</v>
      </c>
      <c r="K13" s="615">
        <f t="shared" ref="K13:O13" si="6">44791.1104347826/1000</f>
        <v>44.791110434782595</v>
      </c>
      <c r="L13" s="615">
        <f t="shared" si="6"/>
        <v>44.791110434782595</v>
      </c>
      <c r="M13" s="615">
        <f t="shared" si="6"/>
        <v>44.791110434782595</v>
      </c>
      <c r="N13" s="615">
        <f t="shared" si="6"/>
        <v>44.791110434782595</v>
      </c>
      <c r="O13" s="615">
        <f t="shared" si="6"/>
        <v>44.791110434782595</v>
      </c>
      <c r="P13" s="615" t="s">
        <v>883</v>
      </c>
      <c r="Q13" s="615" t="s">
        <v>883</v>
      </c>
      <c r="R13" s="203">
        <v>268746.66260869562</v>
      </c>
      <c r="S13" s="204"/>
    </row>
    <row r="14" spans="1:19" ht="31.5">
      <c r="A14" t="s">
        <v>293</v>
      </c>
      <c r="B14" t="str">
        <f>VLOOKUP(A14,'Price Table 8 EPFL'!A:B,2,FALSE)</f>
        <v>CS - Engineering and SW</v>
      </c>
      <c r="C14" s="205">
        <v>1</v>
      </c>
      <c r="D14" s="206">
        <v>8</v>
      </c>
      <c r="E14" s="200">
        <v>8</v>
      </c>
      <c r="F14" s="201">
        <f t="shared" si="1"/>
        <v>278.179408695652</v>
      </c>
      <c r="G14" s="207"/>
      <c r="H14" s="612" t="s">
        <v>891</v>
      </c>
      <c r="I14" s="613" t="s">
        <v>892</v>
      </c>
      <c r="J14" s="615">
        <f>34772.4260869565/1000</f>
        <v>34.7724260869565</v>
      </c>
      <c r="K14" s="615">
        <f t="shared" ref="K14:Q15" si="7">34772.4260869565/1000</f>
        <v>34.7724260869565</v>
      </c>
      <c r="L14" s="615">
        <f t="shared" si="7"/>
        <v>34.7724260869565</v>
      </c>
      <c r="M14" s="615">
        <f t="shared" si="7"/>
        <v>34.7724260869565</v>
      </c>
      <c r="N14" s="615">
        <f t="shared" si="7"/>
        <v>34.7724260869565</v>
      </c>
      <c r="O14" s="615">
        <f t="shared" si="7"/>
        <v>34.7724260869565</v>
      </c>
      <c r="P14" s="615">
        <f t="shared" si="7"/>
        <v>34.7724260869565</v>
      </c>
      <c r="Q14" s="615">
        <f t="shared" si="7"/>
        <v>34.7724260869565</v>
      </c>
      <c r="R14" s="203">
        <v>278179.40869565215</v>
      </c>
      <c r="S14" s="204"/>
    </row>
    <row r="15" spans="1:19" ht="31.5">
      <c r="A15" t="s">
        <v>293</v>
      </c>
      <c r="B15" t="str">
        <f>VLOOKUP(A15,'Price Table 8 EPFL'!A:B,2,FALSE)</f>
        <v>CS - Engineering and SW</v>
      </c>
      <c r="C15" s="205">
        <v>1</v>
      </c>
      <c r="D15" s="206">
        <v>6</v>
      </c>
      <c r="E15" s="200">
        <v>6</v>
      </c>
      <c r="F15" s="201">
        <f t="shared" si="1"/>
        <v>208.634556521739</v>
      </c>
      <c r="G15" s="207"/>
      <c r="H15" s="612" t="s">
        <v>893</v>
      </c>
      <c r="I15" s="613" t="s">
        <v>894</v>
      </c>
      <c r="J15" s="615">
        <f>34772.4260869565/1000</f>
        <v>34.7724260869565</v>
      </c>
      <c r="K15" s="615">
        <f t="shared" si="7"/>
        <v>34.7724260869565</v>
      </c>
      <c r="L15" s="615">
        <f t="shared" si="7"/>
        <v>34.7724260869565</v>
      </c>
      <c r="M15" s="615">
        <f t="shared" si="7"/>
        <v>34.7724260869565</v>
      </c>
      <c r="N15" s="615">
        <f t="shared" si="7"/>
        <v>34.7724260869565</v>
      </c>
      <c r="O15" s="615">
        <f t="shared" si="7"/>
        <v>34.7724260869565</v>
      </c>
      <c r="P15" s="615" t="s">
        <v>883</v>
      </c>
      <c r="Q15" s="615" t="s">
        <v>883</v>
      </c>
      <c r="R15" s="203">
        <v>208634.55652173914</v>
      </c>
      <c r="S15" s="204"/>
    </row>
    <row r="16" spans="1:19" ht="15.75">
      <c r="C16" s="205"/>
      <c r="D16" s="206"/>
      <c r="E16" s="200" t="s">
        <v>883</v>
      </c>
      <c r="F16" s="201"/>
      <c r="G16" s="207"/>
      <c r="H16" s="612"/>
      <c r="I16" s="613"/>
      <c r="J16" s="615" t="s">
        <v>883</v>
      </c>
      <c r="K16" s="615" t="s">
        <v>883</v>
      </c>
      <c r="L16" s="615" t="s">
        <v>883</v>
      </c>
      <c r="M16" s="615" t="s">
        <v>883</v>
      </c>
      <c r="N16" s="615" t="s">
        <v>883</v>
      </c>
      <c r="O16" s="615" t="s">
        <v>883</v>
      </c>
      <c r="P16" s="615" t="s">
        <v>883</v>
      </c>
      <c r="Q16" s="615" t="s">
        <v>883</v>
      </c>
      <c r="R16" s="203">
        <v>0</v>
      </c>
      <c r="S16" s="204"/>
    </row>
    <row r="17" spans="3:21" ht="15.75">
      <c r="C17" s="205"/>
      <c r="D17" s="206"/>
      <c r="E17" s="200" t="s">
        <v>883</v>
      </c>
      <c r="F17" s="201"/>
      <c r="G17" s="207"/>
      <c r="H17" s="612"/>
      <c r="I17" s="613"/>
      <c r="J17" s="615" t="s">
        <v>883</v>
      </c>
      <c r="K17" s="615" t="s">
        <v>883</v>
      </c>
      <c r="L17" s="615" t="s">
        <v>883</v>
      </c>
      <c r="M17" s="615" t="s">
        <v>883</v>
      </c>
      <c r="N17" s="615" t="s">
        <v>883</v>
      </c>
      <c r="O17" s="615" t="s">
        <v>883</v>
      </c>
      <c r="P17" s="615" t="s">
        <v>883</v>
      </c>
      <c r="Q17" s="615" t="s">
        <v>883</v>
      </c>
      <c r="R17" s="203">
        <v>0</v>
      </c>
      <c r="S17" s="204"/>
    </row>
    <row r="18" spans="3:21" ht="16.5" thickBot="1">
      <c r="C18" s="208"/>
      <c r="D18" s="209"/>
      <c r="E18" s="210" t="s">
        <v>883</v>
      </c>
      <c r="F18" s="211"/>
      <c r="G18" s="212"/>
      <c r="H18" s="617"/>
      <c r="I18" s="618"/>
      <c r="J18" s="615" t="s">
        <v>883</v>
      </c>
      <c r="K18" s="615" t="s">
        <v>883</v>
      </c>
      <c r="L18" s="615" t="s">
        <v>883</v>
      </c>
      <c r="M18" s="615" t="s">
        <v>883</v>
      </c>
      <c r="N18" s="615" t="s">
        <v>883</v>
      </c>
      <c r="O18" s="615" t="s">
        <v>883</v>
      </c>
      <c r="P18" s="615" t="s">
        <v>883</v>
      </c>
      <c r="Q18" s="615" t="s">
        <v>883</v>
      </c>
      <c r="R18" s="203">
        <v>0</v>
      </c>
      <c r="S18" s="204"/>
    </row>
    <row r="19" spans="3:21" ht="16.5" thickTop="1">
      <c r="C19" s="213"/>
      <c r="D19" s="213"/>
      <c r="E19" s="214" t="s">
        <v>895</v>
      </c>
      <c r="F19" s="220">
        <f>SUM(F5:F18)</f>
        <v>1850.4280556521735</v>
      </c>
      <c r="G19" s="215"/>
      <c r="H19" s="219"/>
      <c r="I19" s="216"/>
      <c r="J19" s="221">
        <f>SUM(J5,J8:J15)</f>
        <v>210.68079217391301</v>
      </c>
      <c r="K19" s="221">
        <f t="shared" ref="K19:Q19" si="8">SUM(K5,K8:K15)</f>
        <v>210.68079217391301</v>
      </c>
      <c r="L19" s="221">
        <f t="shared" si="8"/>
        <v>210.68079217391301</v>
      </c>
      <c r="M19" s="221">
        <f t="shared" si="8"/>
        <v>317.7873095652173</v>
      </c>
      <c r="N19" s="221">
        <f t="shared" si="8"/>
        <v>283.0148834782608</v>
      </c>
      <c r="O19" s="221">
        <f t="shared" si="8"/>
        <v>283.0148834782608</v>
      </c>
      <c r="P19" s="221">
        <f t="shared" si="8"/>
        <v>203.45134695652172</v>
      </c>
      <c r="Q19" s="221">
        <f t="shared" si="8"/>
        <v>131.1172556521739</v>
      </c>
      <c r="R19" s="217">
        <v>2244081.699130435</v>
      </c>
      <c r="S19" s="218"/>
    </row>
    <row r="21" spans="3:21">
      <c r="F21" s="553">
        <f>2244.08-F19</f>
        <v>393.65194434782643</v>
      </c>
    </row>
    <row r="24" spans="3:21">
      <c r="I24" t="s">
        <v>896</v>
      </c>
    </row>
    <row r="25" spans="3:21" ht="15.75">
      <c r="H25" s="612" t="s">
        <v>881</v>
      </c>
      <c r="I25" s="613" t="s">
        <v>882</v>
      </c>
      <c r="J25" s="614">
        <v>34.7724260869565</v>
      </c>
      <c r="K25" s="614">
        <v>34.7724260869565</v>
      </c>
      <c r="L25" s="614">
        <v>34.7724260869565</v>
      </c>
      <c r="M25" s="614"/>
      <c r="N25" s="614"/>
      <c r="O25" s="614"/>
      <c r="P25" s="614"/>
      <c r="Q25" s="614"/>
      <c r="R25" t="s">
        <v>897</v>
      </c>
    </row>
    <row r="26" spans="3:21" ht="31.5">
      <c r="H26" s="612" t="s">
        <v>884</v>
      </c>
      <c r="I26" s="613" t="s">
        <v>885</v>
      </c>
      <c r="J26" s="615">
        <f>36686.6652173913/1000</f>
        <v>36.686665217391301</v>
      </c>
      <c r="K26" s="615">
        <f t="shared" ref="K26:L26" si="9">36686.6652173913/1000</f>
        <v>36.686665217391301</v>
      </c>
      <c r="L26" s="615">
        <f t="shared" si="9"/>
        <v>36.686665217391301</v>
      </c>
      <c r="M26" s="615"/>
      <c r="N26" s="615"/>
      <c r="O26" s="615"/>
      <c r="P26" s="615"/>
      <c r="Q26" s="615">
        <v>36.686665217391301</v>
      </c>
      <c r="R26" t="s">
        <v>898</v>
      </c>
    </row>
    <row r="27" spans="3:21" ht="31.5">
      <c r="H27" s="612" t="s">
        <v>886</v>
      </c>
      <c r="I27" s="613" t="s">
        <v>887</v>
      </c>
      <c r="J27" s="615">
        <v>35.6474260869565</v>
      </c>
      <c r="K27" s="615">
        <v>35.6474260869565</v>
      </c>
      <c r="L27" s="615">
        <v>35.6474260869565</v>
      </c>
      <c r="M27" s="615"/>
      <c r="N27" s="615"/>
      <c r="O27" s="615"/>
      <c r="P27" s="615"/>
      <c r="Q27" s="615">
        <v>35.6474260869565</v>
      </c>
    </row>
    <row r="30" spans="3:21" ht="15.75">
      <c r="I30" s="619" t="s">
        <v>899</v>
      </c>
    </row>
    <row r="32" spans="3:21">
      <c r="I32" t="s">
        <v>900</v>
      </c>
      <c r="J32">
        <v>1</v>
      </c>
      <c r="K32">
        <v>2</v>
      </c>
      <c r="L32">
        <v>3</v>
      </c>
      <c r="M32">
        <v>4</v>
      </c>
      <c r="N32">
        <v>5</v>
      </c>
      <c r="O32">
        <v>6</v>
      </c>
      <c r="P32">
        <v>7</v>
      </c>
      <c r="Q32">
        <v>8</v>
      </c>
      <c r="R32">
        <v>9</v>
      </c>
      <c r="S32">
        <v>10</v>
      </c>
      <c r="T32">
        <v>11</v>
      </c>
      <c r="U32">
        <v>12</v>
      </c>
    </row>
    <row r="33" spans="9:25">
      <c r="I33" t="s">
        <v>901</v>
      </c>
      <c r="J33" t="s">
        <v>902</v>
      </c>
      <c r="K33" t="s">
        <v>902</v>
      </c>
      <c r="L33" t="s">
        <v>902</v>
      </c>
      <c r="M33" t="s">
        <v>902</v>
      </c>
      <c r="N33" t="s">
        <v>902</v>
      </c>
      <c r="O33" t="s">
        <v>902</v>
      </c>
      <c r="P33" t="s">
        <v>902</v>
      </c>
      <c r="Q33" t="s">
        <v>902</v>
      </c>
      <c r="R33" t="s">
        <v>902</v>
      </c>
      <c r="S33" t="s">
        <v>902</v>
      </c>
      <c r="T33" t="s">
        <v>902</v>
      </c>
      <c r="U33" t="s">
        <v>902</v>
      </c>
    </row>
    <row r="34" spans="9:25">
      <c r="I34" t="s">
        <v>903</v>
      </c>
      <c r="J34" t="s">
        <v>902</v>
      </c>
      <c r="K34" t="s">
        <v>902</v>
      </c>
      <c r="L34" t="s">
        <v>902</v>
      </c>
      <c r="M34" t="s">
        <v>902</v>
      </c>
      <c r="N34" t="s">
        <v>902</v>
      </c>
      <c r="O34" t="s">
        <v>902</v>
      </c>
      <c r="P34" t="s">
        <v>902</v>
      </c>
      <c r="Q34" t="s">
        <v>902</v>
      </c>
      <c r="R34" t="s">
        <v>902</v>
      </c>
      <c r="S34" t="s">
        <v>902</v>
      </c>
      <c r="T34" t="s">
        <v>902</v>
      </c>
      <c r="U34" t="s">
        <v>902</v>
      </c>
    </row>
    <row r="35" spans="9:25">
      <c r="I35" t="s">
        <v>904</v>
      </c>
      <c r="J35" t="s">
        <v>554</v>
      </c>
      <c r="K35" t="s">
        <v>905</v>
      </c>
      <c r="M35" t="s">
        <v>906</v>
      </c>
      <c r="O35" t="s">
        <v>907</v>
      </c>
      <c r="Q35" t="s">
        <v>908</v>
      </c>
      <c r="V35" t="s">
        <v>895</v>
      </c>
    </row>
    <row r="36" spans="9:25">
      <c r="I36" t="s">
        <v>909</v>
      </c>
      <c r="J36" s="595">
        <v>0.1</v>
      </c>
      <c r="K36" s="595">
        <v>0.2</v>
      </c>
      <c r="M36" s="595">
        <v>0.3</v>
      </c>
      <c r="O36" s="595">
        <v>0.2</v>
      </c>
      <c r="Q36" s="595">
        <v>0.2</v>
      </c>
      <c r="V36" s="595">
        <v>1</v>
      </c>
      <c r="X36" t="s">
        <v>910</v>
      </c>
    </row>
    <row r="37" spans="9:25">
      <c r="I37" t="s">
        <v>911</v>
      </c>
      <c r="J37" t="s">
        <v>912</v>
      </c>
      <c r="K37" t="s">
        <v>913</v>
      </c>
      <c r="M37" t="s">
        <v>914</v>
      </c>
      <c r="O37" t="s">
        <v>913</v>
      </c>
      <c r="Q37" t="s">
        <v>913</v>
      </c>
      <c r="V37" t="s">
        <v>915</v>
      </c>
      <c r="X37" t="s">
        <v>916</v>
      </c>
      <c r="Y37">
        <v>280750</v>
      </c>
    </row>
  </sheetData>
  <phoneticPr fontId="28"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L98"/>
  <sheetViews>
    <sheetView zoomScale="110" zoomScaleNormal="110" workbookViewId="0">
      <pane xSplit="9" ySplit="12" topLeftCell="AA79" activePane="bottomRight" state="frozen"/>
      <selection pane="topRight" activeCell="AR78" sqref="AR78"/>
      <selection pane="bottomLeft" activeCell="AR78" sqref="AR78"/>
      <selection pane="bottomRight" activeCell="AR78" sqref="AR78"/>
    </sheetView>
  </sheetViews>
  <sheetFormatPr defaultColWidth="8.85546875" defaultRowHeight="15" outlineLevelCol="1"/>
  <cols>
    <col min="1" max="1" width="5.28515625" customWidth="1"/>
    <col min="2" max="2" width="31.42578125" customWidth="1"/>
    <col min="3" max="3" width="7" customWidth="1"/>
    <col min="4" max="4" width="6.85546875" customWidth="1"/>
    <col min="5" max="5" width="8.85546875" style="36"/>
    <col min="6" max="6" width="12.42578125" style="36" bestFit="1" customWidth="1"/>
    <col min="7" max="7" width="12.42578125" style="36" hidden="1" customWidth="1" outlineLevel="1"/>
    <col min="8" max="8" width="15.85546875" style="36" hidden="1" customWidth="1" outlineLevel="1"/>
    <col min="9" max="9" width="12.42578125" hidden="1" customWidth="1" outlineLevel="1"/>
    <col min="10" max="10" width="9" bestFit="1" customWidth="1" collapsed="1"/>
    <col min="11" max="17" width="9" bestFit="1" customWidth="1"/>
    <col min="18" max="18" width="6.85546875" customWidth="1"/>
    <col min="19" max="25" width="9" bestFit="1" customWidth="1"/>
    <col min="26" max="26" width="6.85546875" customWidth="1"/>
    <col min="27" max="33" width="9" bestFit="1" customWidth="1"/>
    <col min="34" max="34" width="9.7109375" bestFit="1" customWidth="1"/>
    <col min="35" max="35" width="9.85546875" style="16" bestFit="1" customWidth="1"/>
    <col min="36" max="36" width="9" bestFit="1" customWidth="1"/>
  </cols>
  <sheetData>
    <row r="1" spans="1:36" ht="18.75">
      <c r="A1" s="1" t="s">
        <v>528</v>
      </c>
    </row>
    <row r="5" spans="1:36">
      <c r="B5" s="4" t="s">
        <v>529</v>
      </c>
    </row>
    <row r="6" spans="1:36">
      <c r="B6" s="6" t="s">
        <v>530</v>
      </c>
      <c r="C6" s="7">
        <v>2019</v>
      </c>
    </row>
    <row r="7" spans="1:36">
      <c r="B7" s="6" t="s">
        <v>531</v>
      </c>
      <c r="C7" s="125" t="s">
        <v>532</v>
      </c>
      <c r="D7" s="17"/>
    </row>
    <row r="8" spans="1:36">
      <c r="I8" t="s">
        <v>533</v>
      </c>
      <c r="J8" s="2">
        <v>2020</v>
      </c>
      <c r="K8" s="2"/>
      <c r="L8" s="2"/>
      <c r="M8" s="2"/>
      <c r="N8" s="3">
        <v>2021</v>
      </c>
      <c r="O8" s="3"/>
      <c r="P8" s="3"/>
      <c r="Q8" s="3"/>
      <c r="R8" s="2">
        <v>2022</v>
      </c>
      <c r="S8" s="2"/>
      <c r="T8" s="2"/>
      <c r="U8" s="2"/>
      <c r="V8" s="3">
        <v>2023</v>
      </c>
      <c r="W8" s="3"/>
      <c r="X8" s="3"/>
      <c r="Y8" s="3"/>
      <c r="Z8" s="2">
        <v>2024</v>
      </c>
      <c r="AA8" s="2"/>
      <c r="AB8" s="2"/>
      <c r="AC8" s="2"/>
      <c r="AD8" s="3">
        <v>2025</v>
      </c>
      <c r="AE8" s="3"/>
      <c r="AF8" s="3"/>
      <c r="AG8" s="3"/>
      <c r="AH8" t="s">
        <v>534</v>
      </c>
      <c r="AI8" s="16" t="s">
        <v>535</v>
      </c>
    </row>
    <row r="9" spans="1:36">
      <c r="I9" t="s">
        <v>27</v>
      </c>
      <c r="J9" t="s">
        <v>536</v>
      </c>
      <c r="M9" t="s">
        <v>537</v>
      </c>
      <c r="S9" t="s">
        <v>538</v>
      </c>
      <c r="W9" t="s">
        <v>539</v>
      </c>
      <c r="AE9" t="s">
        <v>917</v>
      </c>
    </row>
    <row r="10" spans="1:36">
      <c r="A10" t="s">
        <v>541</v>
      </c>
      <c r="B10" s="126" t="s">
        <v>542</v>
      </c>
      <c r="C10" s="127"/>
      <c r="D10" s="128"/>
      <c r="E10" s="36" t="s">
        <v>543</v>
      </c>
      <c r="F10" s="36" t="s">
        <v>544</v>
      </c>
      <c r="G10" s="36" t="s">
        <v>545</v>
      </c>
      <c r="H10" s="36" t="s">
        <v>546</v>
      </c>
      <c r="I10" t="s">
        <v>547</v>
      </c>
      <c r="J10" t="s">
        <v>548</v>
      </c>
      <c r="K10" t="s">
        <v>549</v>
      </c>
      <c r="L10" t="s">
        <v>550</v>
      </c>
      <c r="M10" t="s">
        <v>551</v>
      </c>
      <c r="N10" t="s">
        <v>548</v>
      </c>
      <c r="O10" t="s">
        <v>549</v>
      </c>
      <c r="P10" t="s">
        <v>550</v>
      </c>
      <c r="Q10" t="s">
        <v>551</v>
      </c>
      <c r="R10" t="s">
        <v>548</v>
      </c>
      <c r="S10" t="s">
        <v>549</v>
      </c>
      <c r="T10" t="s">
        <v>550</v>
      </c>
      <c r="U10" t="s">
        <v>551</v>
      </c>
      <c r="V10" t="s">
        <v>548</v>
      </c>
      <c r="W10" t="s">
        <v>549</v>
      </c>
      <c r="X10" t="s">
        <v>550</v>
      </c>
      <c r="Y10" t="s">
        <v>551</v>
      </c>
      <c r="Z10" t="s">
        <v>548</v>
      </c>
      <c r="AA10" t="s">
        <v>549</v>
      </c>
      <c r="AB10" t="s">
        <v>550</v>
      </c>
      <c r="AC10" t="s">
        <v>551</v>
      </c>
      <c r="AD10" t="s">
        <v>548</v>
      </c>
      <c r="AE10" t="s">
        <v>549</v>
      </c>
      <c r="AF10" t="s">
        <v>550</v>
      </c>
      <c r="AG10" t="s">
        <v>551</v>
      </c>
      <c r="AI10" s="537">
        <f>SUM(J14:AG78)</f>
        <v>16175.964431614648</v>
      </c>
    </row>
    <row r="11" spans="1:36">
      <c r="B11" s="129" t="s">
        <v>552</v>
      </c>
      <c r="C11" s="130"/>
      <c r="D11" s="131"/>
      <c r="I11" t="s">
        <v>553</v>
      </c>
      <c r="J11" t="s">
        <v>554</v>
      </c>
      <c r="M11" t="s">
        <v>555</v>
      </c>
    </row>
    <row r="12" spans="1:36">
      <c r="B12" s="39" t="s">
        <v>556</v>
      </c>
      <c r="C12" s="40"/>
      <c r="D12" s="41"/>
      <c r="J12" s="8">
        <v>43862</v>
      </c>
      <c r="K12" s="8">
        <v>43922</v>
      </c>
      <c r="L12" s="8">
        <v>44012</v>
      </c>
      <c r="M12" s="8">
        <v>44227</v>
      </c>
    </row>
    <row r="13" spans="1:36">
      <c r="B13" s="42" t="s">
        <v>557</v>
      </c>
      <c r="C13" s="43"/>
      <c r="D13" s="44"/>
    </row>
    <row r="14" spans="1:36">
      <c r="A14" t="s">
        <v>32</v>
      </c>
      <c r="B14" s="42" t="s">
        <v>558</v>
      </c>
      <c r="C14" s="43"/>
      <c r="D14" s="44"/>
      <c r="E14" s="36" t="s">
        <v>12</v>
      </c>
      <c r="F14" s="36" t="s">
        <v>13</v>
      </c>
      <c r="G14" s="36" t="str">
        <f>CONCATENATE(E14,F14)</f>
        <v>MGTManpower</v>
      </c>
      <c r="H14" s="60">
        <v>110000</v>
      </c>
      <c r="J14" s="123">
        <f>SUMIF('OHB NEW'!$Y:$Y,'Price Table 8 OHB'!$A14,'OHB NEW'!AC:AC)</f>
        <v>13.095232651194696</v>
      </c>
      <c r="K14" s="123">
        <f>SUMIF('OHB NEW'!$Y:$Y,'Price Table 8 OHB'!$A14,'OHB NEW'!AD:AD)</f>
        <v>19.642848976792045</v>
      </c>
      <c r="L14" s="123">
        <f>SUMIF('OHB NEW'!$Y:$Y,'Price Table 8 OHB'!$A14,'OHB NEW'!AE:AE)</f>
        <v>53.353149651309018</v>
      </c>
      <c r="M14" s="123">
        <f>SUMIF('OHB NEW'!$Y:$Y,'Price Table 8 OHB'!$A14,'OHB NEW'!AF:AF)</f>
        <v>53.353149651309018</v>
      </c>
      <c r="N14" s="123">
        <f>SUMIF('OHB NEW'!$Y:$Y,'Price Table 8 OHB'!$A14,'OHB NEW'!AG:AG)</f>
        <v>53.353149651309018</v>
      </c>
      <c r="O14" s="123">
        <f>SUMIF('OHB NEW'!$Y:$Y,'Price Table 8 OHB'!$A14,'OHB NEW'!AH:AH)</f>
        <v>53.353149651309018</v>
      </c>
      <c r="P14" s="123">
        <f>SUMIF('OHB NEW'!$Y:$Y,'Price Table 8 OHB'!$A14,'OHB NEW'!AI:AI)</f>
        <v>53.353149651309018</v>
      </c>
      <c r="Q14" s="123">
        <f>SUMIF('OHB NEW'!$Y:$Y,'Price Table 8 OHB'!$A14,'OHB NEW'!AJ:AJ)</f>
        <v>53.353149651309018</v>
      </c>
      <c r="R14" s="123">
        <f>SUMIF('OHB NEW'!$Y:$Y,'Price Table 8 OHB'!$A14,'OHB NEW'!AK:AK)</f>
        <v>53.353149651309018</v>
      </c>
      <c r="S14" s="123">
        <f>SUMIF('OHB NEW'!$Y:$Y,'Price Table 8 OHB'!$A14,'OHB NEW'!AL:AL)</f>
        <v>53.353149651309018</v>
      </c>
      <c r="T14" s="123">
        <f>SUMIF('OHB NEW'!$Y:$Y,'Price Table 8 OHB'!$A14,'OHB NEW'!AM:AM)</f>
        <v>53.353149651309018</v>
      </c>
      <c r="U14" s="123">
        <f>SUMIF('OHB NEW'!$Y:$Y,'Price Table 8 OHB'!$A14,'OHB NEW'!AN:AN)</f>
        <v>53.353149651309018</v>
      </c>
      <c r="V14" s="123">
        <f>SUMIF('OHB NEW'!$Y:$Y,'Price Table 8 OHB'!$A14,'OHB NEW'!AO:AO)</f>
        <v>55.853149651309018</v>
      </c>
      <c r="W14" s="123">
        <f>SUMIF('OHB NEW'!$Y:$Y,'Price Table 8 OHB'!$A14,'OHB NEW'!AP:AP)</f>
        <v>55.853149651309018</v>
      </c>
      <c r="X14" s="123">
        <f>SUMIF('OHB NEW'!$Y:$Y,'Price Table 8 OHB'!$A14,'OHB NEW'!AQ:AQ)</f>
        <v>52.353149651309018</v>
      </c>
      <c r="Y14" s="123">
        <f>SUMIF('OHB NEW'!$Y:$Y,'Price Table 8 OHB'!$A14,'OHB NEW'!AR:AR)</f>
        <v>52.353149651309018</v>
      </c>
      <c r="Z14" s="123">
        <f>SUMIF('OHB NEW'!$Y:$Y,'Price Table 8 OHB'!$A14,'OHB NEW'!AS:AS)</f>
        <v>52.353149651309018</v>
      </c>
      <c r="AA14" s="123">
        <f>SUMIF('OHB NEW'!$Y:$Y,'Price Table 8 OHB'!$A14,'OHB NEW'!AT:AT)</f>
        <v>52.353149651309018</v>
      </c>
      <c r="AB14" s="123">
        <f>SUMIF('OHB NEW'!$Y:$Y,'Price Table 8 OHB'!$A14,'OHB NEW'!AU:AU)</f>
        <v>52.353149651309018</v>
      </c>
      <c r="AC14" s="123">
        <f>SUMIF('OHB NEW'!$Y:$Y,'Price Table 8 OHB'!$A14,'OHB NEW'!AV:AV)</f>
        <v>52.353149651309018</v>
      </c>
      <c r="AD14" s="123">
        <f>SUMIF('OHB NEW'!$Y:$Y,'Price Table 8 OHB'!$A14,'OHB NEW'!AW:AW)</f>
        <v>15.369040813993371</v>
      </c>
      <c r="AE14" s="123">
        <f>SUMIF('OHB NEW'!$Y:$Y,'Price Table 8 OHB'!$A14,'OHB NEW'!AX:AX)</f>
        <v>15.369040813993371</v>
      </c>
      <c r="AF14" s="123">
        <f>SUMIF('OHB NEW'!$Y:$Y,'Price Table 8 OHB'!$A14,'OHB NEW'!AY:AY)</f>
        <v>13.869040813993371</v>
      </c>
      <c r="AG14" s="123">
        <f>SUMIF('OHB NEW'!$Y:$Y,'Price Table 8 OHB'!$A14,'OHB NEW'!AZ:AZ)</f>
        <v>13.869040813993371</v>
      </c>
      <c r="AH14" s="115">
        <f>SUM(J14:AG14)</f>
        <v>1050.5709386075223</v>
      </c>
      <c r="AI14" s="115">
        <f>SUM('OHB OLD'!AE21)</f>
        <v>1050.5709386075227</v>
      </c>
      <c r="AJ14" s="115"/>
    </row>
    <row r="15" spans="1:36">
      <c r="A15" t="s">
        <v>76</v>
      </c>
      <c r="B15" s="42" t="s">
        <v>559</v>
      </c>
      <c r="C15" s="43"/>
      <c r="D15" s="44"/>
      <c r="E15" s="36" t="s">
        <v>12</v>
      </c>
      <c r="F15" s="36" t="s">
        <v>13</v>
      </c>
      <c r="G15" s="36" t="str">
        <f>CONCATENATE(E15,F15)</f>
        <v>MGTManpower</v>
      </c>
      <c r="H15" s="16">
        <v>130000</v>
      </c>
      <c r="J15" s="123">
        <f>SUMIF('OHB NEW'!$Y:$Y,'Price Table 8 OHB'!$A15,'OHB NEW'!AC:AC)</f>
        <v>0</v>
      </c>
      <c r="K15" s="123">
        <f>SUMIF('OHB NEW'!$Y:$Y,'Price Table 8 OHB'!$A15,'OHB NEW'!AD:AD)</f>
        <v>0</v>
      </c>
      <c r="L15" s="123">
        <f>SUMIF('OHB NEW'!$Y:$Y,'Price Table 8 OHB'!$A15,'OHB NEW'!AE:AE)</f>
        <v>0</v>
      </c>
      <c r="M15" s="123">
        <f>SUMIF('OHB NEW'!$Y:$Y,'Price Table 8 OHB'!$A15,'OHB NEW'!AF:AF)</f>
        <v>83.030658130406621</v>
      </c>
      <c r="N15" s="123">
        <f>SUMIF('OHB NEW'!$Y:$Y,'Price Table 8 OHB'!$A15,'OHB NEW'!AG:AG)</f>
        <v>57.068804542509817</v>
      </c>
      <c r="O15" s="123">
        <f>SUMIF('OHB NEW'!$Y:$Y,'Price Table 8 OHB'!$A15,'OHB NEW'!AH:AH)</f>
        <v>57.068804542509817</v>
      </c>
      <c r="P15" s="123">
        <f>SUMIF('OHB NEW'!$Y:$Y,'Price Table 8 OHB'!$A15,'OHB NEW'!AI:AI)</f>
        <v>57.068804542509817</v>
      </c>
      <c r="Q15" s="123">
        <f>SUMIF('OHB NEW'!$Y:$Y,'Price Table 8 OHB'!$A15,'OHB NEW'!AJ:AJ)</f>
        <v>57.068804542509817</v>
      </c>
      <c r="R15" s="123">
        <f>SUMIF('OHB NEW'!$Y:$Y,'Price Table 8 OHB'!$A15,'OHB NEW'!AK:AK)</f>
        <v>62.068804542509817</v>
      </c>
      <c r="S15" s="123">
        <f>SUMIF('OHB NEW'!$Y:$Y,'Price Table 8 OHB'!$A15,'OHB NEW'!AL:AL)</f>
        <v>62.068804542509817</v>
      </c>
      <c r="T15" s="123">
        <f>SUMIF('OHB NEW'!$Y:$Y,'Price Table 8 OHB'!$A15,'OHB NEW'!AM:AM)</f>
        <v>54.568804542509817</v>
      </c>
      <c r="U15" s="123">
        <f>SUMIF('OHB NEW'!$Y:$Y,'Price Table 8 OHB'!$A15,'OHB NEW'!AN:AN)</f>
        <v>54.568804542509817</v>
      </c>
      <c r="V15" s="123">
        <f>SUMIF('OHB NEW'!$Y:$Y,'Price Table 8 OHB'!$A15,'OHB NEW'!AO:AO)</f>
        <v>56.054933119926837</v>
      </c>
      <c r="W15" s="123">
        <f>SUMIF('OHB NEW'!$Y:$Y,'Price Table 8 OHB'!$A15,'OHB NEW'!AP:AP)</f>
        <v>56.054933119926837</v>
      </c>
      <c r="X15" s="123">
        <f>SUMIF('OHB NEW'!$Y:$Y,'Price Table 8 OHB'!$A15,'OHB NEW'!AQ:AQ)</f>
        <v>56.054933119926837</v>
      </c>
      <c r="Y15" s="123">
        <f>SUMIF('OHB NEW'!$Y:$Y,'Price Table 8 OHB'!$A15,'OHB NEW'!AR:AR)</f>
        <v>56.054933119926837</v>
      </c>
      <c r="Z15" s="123">
        <f>SUMIF('OHB NEW'!$Y:$Y,'Price Table 8 OHB'!$A15,'OHB NEW'!AS:AS)</f>
        <v>56.054933119926837</v>
      </c>
      <c r="AA15" s="123">
        <f>SUMIF('OHB NEW'!$Y:$Y,'Price Table 8 OHB'!$A15,'OHB NEW'!AT:AT)</f>
        <v>56.054933119926837</v>
      </c>
      <c r="AB15" s="123">
        <f>SUMIF('OHB NEW'!$Y:$Y,'Price Table 8 OHB'!$A15,'OHB NEW'!AU:AU)</f>
        <v>57.549731336458215</v>
      </c>
      <c r="AC15" s="123">
        <f>SUMIF('OHB NEW'!$Y:$Y,'Price Table 8 OHB'!$A15,'OHB NEW'!AV:AV)</f>
        <v>57.549731336458215</v>
      </c>
      <c r="AD15" s="123">
        <f>SUMIF('OHB NEW'!$Y:$Y,'Price Table 8 OHB'!$A15,'OHB NEW'!AW:AW)</f>
        <v>62.283259022140925</v>
      </c>
      <c r="AE15" s="123">
        <f>SUMIF('OHB NEW'!$Y:$Y,'Price Table 8 OHB'!$A15,'OHB NEW'!AX:AX)</f>
        <v>21.176308067527916</v>
      </c>
      <c r="AF15" s="123">
        <f>SUMIF('OHB NEW'!$Y:$Y,'Price Table 8 OHB'!$A15,'OHB NEW'!AY:AY)</f>
        <v>9.9653214435425497</v>
      </c>
      <c r="AG15" s="123">
        <f>SUMIF('OHB NEW'!$Y:$Y,'Price Table 8 OHB'!$A15,'OHB NEW'!AZ:AZ)</f>
        <v>9.9653214435425497</v>
      </c>
      <c r="AH15" s="115">
        <f t="shared" ref="AH15:AH78" si="0">SUM(J15:AG15)</f>
        <v>1099.4003658397169</v>
      </c>
      <c r="AI15" s="115">
        <v>1099.4003658397164</v>
      </c>
      <c r="AJ15" s="115"/>
    </row>
    <row r="16" spans="1:36">
      <c r="A16" t="s">
        <v>62</v>
      </c>
      <c r="B16" s="42" t="s">
        <v>560</v>
      </c>
      <c r="C16" s="43"/>
      <c r="D16" s="44"/>
      <c r="E16" s="36" t="s">
        <v>14</v>
      </c>
      <c r="F16" s="36" t="s">
        <v>13</v>
      </c>
      <c r="G16" s="36" t="str">
        <f>CONCATENATE(E16,F16)</f>
        <v>MISSIONManpower</v>
      </c>
      <c r="H16" s="16" t="s">
        <v>561</v>
      </c>
      <c r="J16" s="123">
        <f>SUMIF('OHB NEW'!$Y:$Y,'Price Table 8 OHB'!$A16,'OHB NEW'!AC:AC)</f>
        <v>74.739910826569115</v>
      </c>
      <c r="K16" s="123">
        <f>SUMIF('OHB NEW'!$Y:$Y,'Price Table 8 OHB'!$A16,'OHB NEW'!AD:AD)</f>
        <v>117.10986623985367</v>
      </c>
      <c r="L16" s="123">
        <f>SUMIF('OHB NEW'!$Y:$Y,'Price Table 8 OHB'!$A16,'OHB NEW'!AE:AE)</f>
        <v>117.10986623985367</v>
      </c>
      <c r="M16" s="123">
        <f>SUMIF('OHB NEW'!$Y:$Y,'Price Table 8 OHB'!$A16,'OHB NEW'!AF:AF)</f>
        <v>2.5</v>
      </c>
      <c r="N16" s="123">
        <f>SUMIF('OHB NEW'!$Y:$Y,'Price Table 8 OHB'!$A16,'OHB NEW'!AG:AG)</f>
        <v>2.5</v>
      </c>
      <c r="O16" s="123">
        <f>SUMIF('OHB NEW'!$Y:$Y,'Price Table 8 OHB'!$A16,'OHB NEW'!AH:AH)</f>
        <v>0</v>
      </c>
      <c r="P16" s="123">
        <f>SUMIF('OHB NEW'!$Y:$Y,'Price Table 8 OHB'!$A16,'OHB NEW'!AI:AI)</f>
        <v>0</v>
      </c>
      <c r="Q16" s="123">
        <f>SUMIF('OHB NEW'!$Y:$Y,'Price Table 8 OHB'!$A16,'OHB NEW'!AJ:AJ)</f>
        <v>0</v>
      </c>
      <c r="R16" s="123">
        <f>SUMIF('OHB NEW'!$Y:$Y,'Price Table 8 OHB'!$A16,'OHB NEW'!AK:AK)</f>
        <v>0</v>
      </c>
      <c r="S16" s="123">
        <f>SUMIF('OHB NEW'!$Y:$Y,'Price Table 8 OHB'!$A16,'OHB NEW'!AL:AL)</f>
        <v>0</v>
      </c>
      <c r="T16" s="123">
        <f>SUMIF('OHB NEW'!$Y:$Y,'Price Table 8 OHB'!$A16,'OHB NEW'!AM:AM)</f>
        <v>0</v>
      </c>
      <c r="U16" s="123">
        <f>SUMIF('OHB NEW'!$Y:$Y,'Price Table 8 OHB'!$A16,'OHB NEW'!AN:AN)</f>
        <v>0</v>
      </c>
      <c r="V16" s="123">
        <f>SUMIF('OHB NEW'!$Y:$Y,'Price Table 8 OHB'!$A16,'OHB NEW'!AO:AO)</f>
        <v>0</v>
      </c>
      <c r="W16" s="123">
        <f>SUMIF('OHB NEW'!$Y:$Y,'Price Table 8 OHB'!$A16,'OHB NEW'!AP:AP)</f>
        <v>0</v>
      </c>
      <c r="X16" s="123">
        <f>SUMIF('OHB NEW'!$Y:$Y,'Price Table 8 OHB'!$A16,'OHB NEW'!AQ:AQ)</f>
        <v>0</v>
      </c>
      <c r="Y16" s="123">
        <f>SUMIF('OHB NEW'!$Y:$Y,'Price Table 8 OHB'!$A16,'OHB NEW'!AR:AR)</f>
        <v>0</v>
      </c>
      <c r="Z16" s="123">
        <f>SUMIF('OHB NEW'!$Y:$Y,'Price Table 8 OHB'!$A16,'OHB NEW'!AS:AS)</f>
        <v>0</v>
      </c>
      <c r="AA16" s="123">
        <f>SUMIF('OHB NEW'!$Y:$Y,'Price Table 8 OHB'!$A16,'OHB NEW'!AT:AT)</f>
        <v>0</v>
      </c>
      <c r="AB16" s="123">
        <f>SUMIF('OHB NEW'!$Y:$Y,'Price Table 8 OHB'!$A16,'OHB NEW'!AU:AU)</f>
        <v>0</v>
      </c>
      <c r="AC16" s="123">
        <f>SUMIF('OHB NEW'!$Y:$Y,'Price Table 8 OHB'!$A16,'OHB NEW'!AV:AV)</f>
        <v>0</v>
      </c>
      <c r="AD16" s="123">
        <f>SUMIF('OHB NEW'!$Y:$Y,'Price Table 8 OHB'!$A16,'OHB NEW'!AW:AW)</f>
        <v>0</v>
      </c>
      <c r="AE16" s="123">
        <f>SUMIF('OHB NEW'!$Y:$Y,'Price Table 8 OHB'!$A16,'OHB NEW'!AX:AX)</f>
        <v>0</v>
      </c>
      <c r="AF16" s="123">
        <f>SUMIF('OHB NEW'!$Y:$Y,'Price Table 8 OHB'!$A16,'OHB NEW'!AY:AY)</f>
        <v>0</v>
      </c>
      <c r="AG16" s="123">
        <f>SUMIF('OHB NEW'!$Y:$Y,'Price Table 8 OHB'!$A16,'OHB NEW'!AZ:AZ)</f>
        <v>0</v>
      </c>
      <c r="AH16" s="115">
        <f t="shared" si="0"/>
        <v>313.95964330627646</v>
      </c>
      <c r="AI16" s="115">
        <f>SUM('OHB OLD'!AE46)</f>
        <v>313.95964330627646</v>
      </c>
      <c r="AJ16" s="115"/>
    </row>
    <row r="17" spans="1:38" s="16" customFormat="1">
      <c r="B17" s="45"/>
      <c r="C17" s="55"/>
      <c r="D17" s="56" t="s">
        <v>562</v>
      </c>
      <c r="E17" s="57"/>
      <c r="F17" s="57"/>
      <c r="G17" s="57"/>
      <c r="H17" s="17"/>
    </row>
    <row r="18" spans="1:38">
      <c r="A18" t="s">
        <v>120</v>
      </c>
      <c r="B18" s="42" t="s">
        <v>563</v>
      </c>
      <c r="C18" s="43"/>
      <c r="D18" s="44"/>
      <c r="E18" s="36" t="s">
        <v>14</v>
      </c>
      <c r="F18" s="36" t="s">
        <v>13</v>
      </c>
      <c r="G18" s="36" t="str">
        <f>CONCATENATE(E18,F18)</f>
        <v>MISSIONManpower</v>
      </c>
      <c r="H18" s="60">
        <v>401000</v>
      </c>
      <c r="I18" s="65" t="s">
        <v>564</v>
      </c>
      <c r="J18" s="123">
        <f>SUMIF('OHB NEW'!$Y:$Y,'Price Table 8 OHB'!$A18,'OHB NEW'!AC:AC)</f>
        <v>0</v>
      </c>
      <c r="K18" s="123">
        <f>SUMIF('OHB NEW'!$Y:$Y,'Price Table 8 OHB'!$A18,'OHB NEW'!AD:AD)</f>
        <v>0</v>
      </c>
      <c r="L18" s="123">
        <f>SUMIF('OHB NEW'!$Y:$Y,'Price Table 8 OHB'!$A18,'OHB NEW'!AE:AE)</f>
        <v>0</v>
      </c>
      <c r="M18" s="123">
        <f>SUMIF('OHB NEW'!$Y:$Y,'Price Table 8 OHB'!$A18,'OHB NEW'!AF:AF)</f>
        <v>0</v>
      </c>
      <c r="N18" s="123">
        <f>SUMIF('OHB NEW'!$Y:$Y,'Price Table 8 OHB'!$A18,'OHB NEW'!AG:AG)</f>
        <v>0</v>
      </c>
      <c r="O18" s="123">
        <f>SUMIF('OHB NEW'!$Y:$Y,'Price Table 8 OHB'!$A18,'OHB NEW'!AH:AH)</f>
        <v>0</v>
      </c>
      <c r="P18" s="123">
        <f>SUMIF('OHB NEW'!$Y:$Y,'Price Table 8 OHB'!$A18,'OHB NEW'!AI:AI)</f>
        <v>0</v>
      </c>
      <c r="Q18" s="123">
        <f>SUMIF('OHB NEW'!$Y:$Y,'Price Table 8 OHB'!$A18,'OHB NEW'!AJ:AJ)</f>
        <v>0</v>
      </c>
      <c r="R18" s="123">
        <f>SUMIF('OHB NEW'!$Y:$Y,'Price Table 8 OHB'!$A18,'OHB NEW'!AK:AK)</f>
        <v>0</v>
      </c>
      <c r="S18" s="123">
        <f>SUMIF('OHB NEW'!$Y:$Y,'Price Table 8 OHB'!$A18,'OHB NEW'!AL:AL)</f>
        <v>0</v>
      </c>
      <c r="T18" s="123">
        <f>SUMIF('OHB NEW'!$Y:$Y,'Price Table 8 OHB'!$A18,'OHB NEW'!AM:AM)</f>
        <v>0</v>
      </c>
      <c r="U18" s="123">
        <f>SUMIF('OHB NEW'!$Y:$Y,'Price Table 8 OHB'!$A18,'OHB NEW'!AN:AN)</f>
        <v>0</v>
      </c>
      <c r="V18" s="123">
        <f>SUMIF('OHB NEW'!$Y:$Y,'Price Table 8 OHB'!$A18,'OHB NEW'!AO:AO)</f>
        <v>0</v>
      </c>
      <c r="W18" s="123">
        <f>SUMIF('OHB NEW'!$Y:$Y,'Price Table 8 OHB'!$A18,'OHB NEW'!AP:AP)</f>
        <v>0</v>
      </c>
      <c r="X18" s="123">
        <f>SUMIF('OHB NEW'!$Y:$Y,'Price Table 8 OHB'!$A18,'OHB NEW'!AQ:AQ)</f>
        <v>0</v>
      </c>
      <c r="Y18" s="123">
        <f>SUMIF('OHB NEW'!$Y:$Y,'Price Table 8 OHB'!$A18,'OHB NEW'!AR:AR)</f>
        <v>0</v>
      </c>
      <c r="Z18" s="123">
        <f>SUMIF('OHB NEW'!$Y:$Y,'Price Table 8 OHB'!$A18,'OHB NEW'!AS:AS)</f>
        <v>0</v>
      </c>
      <c r="AA18" s="123">
        <f>SUMIF('OHB NEW'!$Y:$Y,'Price Table 8 OHB'!$A18,'OHB NEW'!AT:AT)</f>
        <v>0</v>
      </c>
      <c r="AB18" s="123">
        <f>SUMIF('OHB NEW'!$Y:$Y,'Price Table 8 OHB'!$A18,'OHB NEW'!AU:AU)</f>
        <v>0</v>
      </c>
      <c r="AC18" s="123">
        <f>SUMIF('OHB NEW'!$Y:$Y,'Price Table 8 OHB'!$A18,'OHB NEW'!AV:AV)</f>
        <v>0</v>
      </c>
      <c r="AD18" s="123">
        <f>SUMIF('OHB NEW'!$Y:$Y,'Price Table 8 OHB'!$A18,'OHB NEW'!AW:AW)</f>
        <v>0</v>
      </c>
      <c r="AE18" s="123">
        <f>SUMIF('OHB NEW'!$Y:$Y,'Price Table 8 OHB'!$A18,'OHB NEW'!AX:AX)</f>
        <v>0</v>
      </c>
      <c r="AF18" s="123">
        <f>SUMIF('OHB NEW'!$Y:$Y,'Price Table 8 OHB'!$A18,'OHB NEW'!AY:AY)</f>
        <v>0</v>
      </c>
      <c r="AG18" s="123">
        <f>SUMIF('OHB NEW'!$Y:$Y,'Price Table 8 OHB'!$A18,'OHB NEW'!AZ:AZ)</f>
        <v>0</v>
      </c>
      <c r="AH18" s="115">
        <f t="shared" si="0"/>
        <v>0</v>
      </c>
      <c r="AI18" s="115">
        <f>SUMIF('OHB OLD'!$C:$C,'Price Table 8 OHB'!$A18,'OHB OLD'!AE:AE)</f>
        <v>0</v>
      </c>
      <c r="AJ18" s="115"/>
    </row>
    <row r="19" spans="1:38">
      <c r="A19" t="s">
        <v>351</v>
      </c>
      <c r="B19" s="42" t="s">
        <v>565</v>
      </c>
      <c r="C19" s="43"/>
      <c r="D19" s="44"/>
      <c r="E19" s="36" t="s">
        <v>14</v>
      </c>
      <c r="F19" s="36" t="s">
        <v>13</v>
      </c>
      <c r="G19" s="36" t="str">
        <f>CONCATENATE(E19,F19)</f>
        <v>MISSIONManpower</v>
      </c>
      <c r="H19" s="60" t="s">
        <v>638</v>
      </c>
      <c r="I19" t="s">
        <v>567</v>
      </c>
      <c r="J19" s="123">
        <f>SUMIF('OHB NEW'!$Y:$Y,'Price Table 8 OHB'!$A19,'OHB NEW'!AC:AC)</f>
        <v>0</v>
      </c>
      <c r="K19" s="123">
        <f>SUMIF('OHB NEW'!$Y:$Y,'Price Table 8 OHB'!$A19,'OHB NEW'!AD:AD)</f>
        <v>0</v>
      </c>
      <c r="L19" s="123">
        <f>SUMIF('OHB NEW'!$Y:$Y,'Price Table 8 OHB'!$A19,'OHB NEW'!AE:AE)</f>
        <v>0</v>
      </c>
      <c r="M19" s="123">
        <f>SUMIF('OHB NEW'!$Y:$Y,'Price Table 8 OHB'!$A19,'OHB NEW'!AF:AF)</f>
        <v>0</v>
      </c>
      <c r="N19" s="123">
        <f>SUMIF('OHB NEW'!$Y:$Y,'Price Table 8 OHB'!$A19,'OHB NEW'!AG:AG)</f>
        <v>0</v>
      </c>
      <c r="O19" s="123">
        <f>SUMIF('OHB NEW'!$Y:$Y,'Price Table 8 OHB'!$A19,'OHB NEW'!AH:AH)</f>
        <v>0</v>
      </c>
      <c r="P19" s="123">
        <f>SUMIF('OHB NEW'!$Y:$Y,'Price Table 8 OHB'!$A19,'OHB NEW'!AI:AI)</f>
        <v>185.55428527876225</v>
      </c>
      <c r="Q19" s="123">
        <f>SUMIF('OHB NEW'!$Y:$Y,'Price Table 8 OHB'!$A19,'OHB NEW'!AJ:AJ)</f>
        <v>0</v>
      </c>
      <c r="R19" s="123">
        <f>SUMIF('OHB NEW'!$Y:$Y,'Price Table 8 OHB'!$A19,'OHB NEW'!AK:AK)</f>
        <v>0</v>
      </c>
      <c r="S19" s="123">
        <f>SUMIF('OHB NEW'!$Y:$Y,'Price Table 8 OHB'!$A19,'OHB NEW'!AL:AL)</f>
        <v>19.930642887085099</v>
      </c>
      <c r="T19" s="123">
        <f>SUMIF('OHB NEW'!$Y:$Y,'Price Table 8 OHB'!$A19,'OHB NEW'!AM:AM)</f>
        <v>19.930642887085099</v>
      </c>
      <c r="U19" s="123">
        <f>SUMIF('OHB NEW'!$Y:$Y,'Price Table 8 OHB'!$A19,'OHB NEW'!AN:AN)</f>
        <v>13.45318394878244</v>
      </c>
      <c r="V19" s="123">
        <f>SUMIF('OHB NEW'!$Y:$Y,'Price Table 8 OHB'!$A19,'OHB NEW'!AO:AO)</f>
        <v>13.45318394878244</v>
      </c>
      <c r="W19" s="123">
        <f>SUMIF('OHB NEW'!$Y:$Y,'Price Table 8 OHB'!$A19,'OHB NEW'!AP:AP)</f>
        <v>233.89312526199461</v>
      </c>
      <c r="X19" s="123">
        <f>SUMIF('OHB NEW'!$Y:$Y,'Price Table 8 OHB'!$A19,'OHB NEW'!AQ:AQ)</f>
        <v>233.89312526199461</v>
      </c>
      <c r="Y19" s="123">
        <f>SUMIF('OHB NEW'!$Y:$Y,'Price Table 8 OHB'!$A19,'OHB NEW'!AR:AR)</f>
        <v>181.89312526199461</v>
      </c>
      <c r="Z19" s="123">
        <f>SUMIF('OHB NEW'!$Y:$Y,'Price Table 8 OHB'!$A19,'OHB NEW'!AS:AS)</f>
        <v>181.89312526199461</v>
      </c>
      <c r="AA19" s="123">
        <f>SUMIF('OHB NEW'!$Y:$Y,'Price Table 8 OHB'!$A19,'OHB NEW'!AT:AT)</f>
        <v>98.931824244502877</v>
      </c>
      <c r="AB19" s="123">
        <f>SUMIF('OHB NEW'!$Y:$Y,'Price Table 8 OHB'!$A19,'OHB NEW'!AU:AU)</f>
        <v>273.22201897793531</v>
      </c>
      <c r="AC19" s="123">
        <f>SUMIF('OHB NEW'!$Y:$Y,'Price Table 8 OHB'!$A19,'OHB NEW'!AV:AV)</f>
        <v>49.826607217712741</v>
      </c>
      <c r="AD19" s="123">
        <f>SUMIF('OHB NEW'!$Y:$Y,'Price Table 8 OHB'!$A19,'OHB NEW'!AW:AW)</f>
        <v>0</v>
      </c>
      <c r="AE19" s="123">
        <f>SUMIF('OHB NEW'!$Y:$Y,'Price Table 8 OHB'!$A19,'OHB NEW'!AX:AX)</f>
        <v>0</v>
      </c>
      <c r="AF19" s="123">
        <f>SUMIF('OHB NEW'!$Y:$Y,'Price Table 8 OHB'!$A19,'OHB NEW'!AY:AY)</f>
        <v>0</v>
      </c>
      <c r="AG19" s="123">
        <f>SUMIF('OHB NEW'!$Y:$Y,'Price Table 8 OHB'!$A19,'OHB NEW'!AZ:AZ)</f>
        <v>0</v>
      </c>
      <c r="AH19" s="115">
        <f t="shared" si="0"/>
        <v>1505.8748904386266</v>
      </c>
      <c r="AI19" s="118">
        <f>SUMIF('OHB OLD'!$C:$C,'Price Table 8 OHB'!$A19,'OHB OLD'!AE:AE)</f>
        <v>1505.8748904386266</v>
      </c>
      <c r="AJ19" s="115"/>
    </row>
    <row r="20" spans="1:38">
      <c r="A20" t="s">
        <v>356</v>
      </c>
      <c r="B20" s="42" t="s">
        <v>568</v>
      </c>
      <c r="C20" s="43"/>
      <c r="D20" s="44"/>
      <c r="E20" s="36" t="s">
        <v>14</v>
      </c>
      <c r="F20" s="36" t="s">
        <v>117</v>
      </c>
      <c r="G20" s="36" t="str">
        <f>CONCATENATE(E20,F20)</f>
        <v>MISSIONProcurement</v>
      </c>
      <c r="H20" s="60">
        <v>510000</v>
      </c>
      <c r="I20" t="s">
        <v>569</v>
      </c>
      <c r="J20" s="123">
        <f>SUMIF('OHB NEW'!$Y:$Y,'Price Table 8 OHB'!$A20,'OHB NEW'!AC:AC)</f>
        <v>0</v>
      </c>
      <c r="K20" s="123">
        <f>SUMIF('OHB NEW'!$Y:$Y,'Price Table 8 OHB'!$A20,'OHB NEW'!AD:AD)</f>
        <v>0</v>
      </c>
      <c r="L20" s="123">
        <f>SUMIF('OHB NEW'!$Y:$Y,'Price Table 8 OHB'!$A20,'OHB NEW'!AE:AE)</f>
        <v>0</v>
      </c>
      <c r="M20" s="123">
        <f>SUMIF('OHB NEW'!$Y:$Y,'Price Table 8 OHB'!$A20,'OHB NEW'!AF:AF)</f>
        <v>0</v>
      </c>
      <c r="N20" s="123">
        <f>SUMIF('OHB NEW'!$Y:$Y,'Price Table 8 OHB'!$A20,'OHB NEW'!AG:AG)</f>
        <v>0</v>
      </c>
      <c r="O20" s="123">
        <f>SUMIF('OHB NEW'!$Y:$Y,'Price Table 8 OHB'!$A20,'OHB NEW'!AH:AH)</f>
        <v>0</v>
      </c>
      <c r="P20" s="123">
        <f>SUMIF('OHB NEW'!$Y:$Y,'Price Table 8 OHB'!$A20,'OHB NEW'!AI:AI)</f>
        <v>0</v>
      </c>
      <c r="Q20" s="123">
        <f>SUMIF('OHB NEW'!$Y:$Y,'Price Table 8 OHB'!$A20,'OHB NEW'!AJ:AJ)</f>
        <v>0</v>
      </c>
      <c r="R20" s="123">
        <f>SUMIF('OHB NEW'!$Y:$Y,'Price Table 8 OHB'!$A20,'OHB NEW'!AK:AK)</f>
        <v>0</v>
      </c>
      <c r="S20" s="123">
        <f>SUMIF('OHB NEW'!$Y:$Y,'Price Table 8 OHB'!$A20,'OHB NEW'!AL:AL)</f>
        <v>10</v>
      </c>
      <c r="T20" s="123">
        <f>SUMIF('OHB NEW'!$Y:$Y,'Price Table 8 OHB'!$A20,'OHB NEW'!AM:AM)</f>
        <v>0</v>
      </c>
      <c r="U20" s="123">
        <f>SUMIF('OHB NEW'!$Y:$Y,'Price Table 8 OHB'!$A20,'OHB NEW'!AN:AN)</f>
        <v>0</v>
      </c>
      <c r="V20" s="123">
        <f>SUMIF('OHB NEW'!$Y:$Y,'Price Table 8 OHB'!$A20,'OHB NEW'!AO:AO)</f>
        <v>0</v>
      </c>
      <c r="W20" s="123">
        <f>SUMIF('OHB NEW'!$Y:$Y,'Price Table 8 OHB'!$A20,'OHB NEW'!AP:AP)</f>
        <v>0</v>
      </c>
      <c r="X20" s="123">
        <f>SUMIF('OHB NEW'!$Y:$Y,'Price Table 8 OHB'!$A20,'OHB NEW'!AQ:AQ)</f>
        <v>0</v>
      </c>
      <c r="Y20" s="123">
        <f>SUMIF('OHB NEW'!$Y:$Y,'Price Table 8 OHB'!$A20,'OHB NEW'!AR:AR)</f>
        <v>0</v>
      </c>
      <c r="Z20" s="123">
        <f>SUMIF('OHB NEW'!$Y:$Y,'Price Table 8 OHB'!$A20,'OHB NEW'!AS:AS)</f>
        <v>0</v>
      </c>
      <c r="AA20" s="123">
        <f>SUMIF('OHB NEW'!$Y:$Y,'Price Table 8 OHB'!$A20,'OHB NEW'!AT:AT)</f>
        <v>0</v>
      </c>
      <c r="AB20" s="123">
        <f>SUMIF('OHB NEW'!$Y:$Y,'Price Table 8 OHB'!$A20,'OHB NEW'!AU:AU)</f>
        <v>0</v>
      </c>
      <c r="AC20" s="123">
        <f>SUMIF('OHB NEW'!$Y:$Y,'Price Table 8 OHB'!$A20,'OHB NEW'!AV:AV)</f>
        <v>0</v>
      </c>
      <c r="AD20" s="123">
        <f>SUMIF('OHB NEW'!$Y:$Y,'Price Table 8 OHB'!$A20,'OHB NEW'!AW:AW)</f>
        <v>0</v>
      </c>
      <c r="AE20" s="123">
        <f>SUMIF('OHB NEW'!$Y:$Y,'Price Table 8 OHB'!$A20,'OHB NEW'!AX:AX)</f>
        <v>0</v>
      </c>
      <c r="AF20" s="123">
        <f>SUMIF('OHB NEW'!$Y:$Y,'Price Table 8 OHB'!$A20,'OHB NEW'!AY:AY)</f>
        <v>0</v>
      </c>
      <c r="AG20" s="123">
        <f>SUMIF('OHB NEW'!$Y:$Y,'Price Table 8 OHB'!$A20,'OHB NEW'!AZ:AZ)</f>
        <v>0</v>
      </c>
      <c r="AH20" s="115">
        <f t="shared" si="0"/>
        <v>10</v>
      </c>
      <c r="AI20" s="115">
        <f>SUMIF('OHB OLD'!$C:$C,'Price Table 8 OHB'!$A20,'OHB OLD'!AE:AE)</f>
        <v>10</v>
      </c>
      <c r="AJ20" s="115"/>
    </row>
    <row r="21" spans="1:38" s="16" customFormat="1">
      <c r="B21" s="45"/>
      <c r="C21" s="55"/>
      <c r="D21" s="56" t="s">
        <v>562</v>
      </c>
      <c r="E21" s="57"/>
      <c r="F21" s="57"/>
      <c r="G21" s="57"/>
      <c r="H21"/>
    </row>
    <row r="22" spans="1:38">
      <c r="B22" s="46" t="s">
        <v>570</v>
      </c>
      <c r="C22" s="47"/>
      <c r="D22" s="41"/>
      <c r="H22"/>
      <c r="AI22"/>
    </row>
    <row r="23" spans="1:38">
      <c r="B23" s="48" t="s">
        <v>571</v>
      </c>
      <c r="C23" s="49"/>
      <c r="D23" s="50"/>
      <c r="H23"/>
      <c r="AI23"/>
    </row>
    <row r="24" spans="1:38">
      <c r="A24" t="s">
        <v>160</v>
      </c>
      <c r="B24" s="51" t="s">
        <v>572</v>
      </c>
      <c r="C24" s="43"/>
      <c r="D24" s="44"/>
      <c r="E24" s="36" t="s">
        <v>139</v>
      </c>
      <c r="F24" s="36" t="s">
        <v>13</v>
      </c>
      <c r="G24" s="36" t="str">
        <f>CONCATENATE(E24,F24)</f>
        <v>TECHManpower</v>
      </c>
      <c r="H24" s="16">
        <v>410000</v>
      </c>
      <c r="J24" s="123">
        <f>SUMIF('OHB NEW'!$Y:$Y,'Price Table 8 OHB'!$A24,'OHB NEW'!AC:AC)</f>
        <v>0</v>
      </c>
      <c r="K24" s="123">
        <f>SUMIF('OHB NEW'!$Y:$Y,'Price Table 8 OHB'!$A24,'OHB NEW'!AD:AD)</f>
        <v>0</v>
      </c>
      <c r="L24" s="123">
        <f>SUMIF('OHB NEW'!$Y:$Y,'Price Table 8 OHB'!$A24,'OHB NEW'!AE:AE)</f>
        <v>0</v>
      </c>
      <c r="M24" s="123">
        <f>SUMIF('OHB NEW'!$Y:$Y,'Price Table 8 OHB'!$A24,'OHB NEW'!AF:AF)</f>
        <v>0</v>
      </c>
      <c r="N24" s="123">
        <f>SUMIF('OHB NEW'!$Y:$Y,'Price Table 8 OHB'!$A24,'OHB NEW'!AG:AG)</f>
        <v>0</v>
      </c>
      <c r="O24" s="123">
        <f>SUMIF('OHB NEW'!$Y:$Y,'Price Table 8 OHB'!$A24,'OHB NEW'!AH:AH)</f>
        <v>0</v>
      </c>
      <c r="P24" s="123">
        <f>SUMIF('OHB NEW'!$Y:$Y,'Price Table 8 OHB'!$A24,'OHB NEW'!AI:AI)</f>
        <v>0</v>
      </c>
      <c r="Q24" s="123">
        <f>SUMIF('OHB NEW'!$Y:$Y,'Price Table 8 OHB'!$A24,'OHB NEW'!AJ:AJ)</f>
        <v>0</v>
      </c>
      <c r="R24" s="123">
        <f>SUMIF('OHB NEW'!$Y:$Y,'Price Table 8 OHB'!$A24,'OHB NEW'!AK:AK)</f>
        <v>0</v>
      </c>
      <c r="S24" s="123">
        <f>SUMIF('OHB NEW'!$Y:$Y,'Price Table 8 OHB'!$A24,'OHB NEW'!AL:AL)</f>
        <v>0</v>
      </c>
      <c r="T24" s="123">
        <f>SUMIF('OHB NEW'!$Y:$Y,'Price Table 8 OHB'!$A24,'OHB NEW'!AM:AM)</f>
        <v>0</v>
      </c>
      <c r="U24" s="123">
        <f>SUMIF('OHB NEW'!$Y:$Y,'Price Table 8 OHB'!$A24,'OHB NEW'!AN:AN)</f>
        <v>0</v>
      </c>
      <c r="V24" s="123">
        <f>SUMIF('OHB NEW'!$Y:$Y,'Price Table 8 OHB'!$A24,'OHB NEW'!AO:AO)</f>
        <v>0</v>
      </c>
      <c r="W24" s="123">
        <f>SUMIF('OHB NEW'!$Y:$Y,'Price Table 8 OHB'!$A24,'OHB NEW'!AP:AP)</f>
        <v>0</v>
      </c>
      <c r="X24" s="123">
        <f>SUMIF('OHB NEW'!$Y:$Y,'Price Table 8 OHB'!$A24,'OHB NEW'!AQ:AQ)</f>
        <v>0</v>
      </c>
      <c r="Y24" s="123">
        <f>SUMIF('OHB NEW'!$Y:$Y,'Price Table 8 OHB'!$A24,'OHB NEW'!AR:AR)</f>
        <v>0</v>
      </c>
      <c r="Z24" s="123">
        <f>SUMIF('OHB NEW'!$Y:$Y,'Price Table 8 OHB'!$A24,'OHB NEW'!AS:AS)</f>
        <v>0</v>
      </c>
      <c r="AA24" s="123">
        <f>SUMIF('OHB NEW'!$Y:$Y,'Price Table 8 OHB'!$A24,'OHB NEW'!AT:AT)</f>
        <v>0</v>
      </c>
      <c r="AB24" s="123">
        <f>SUMIF('OHB NEW'!$Y:$Y,'Price Table 8 OHB'!$A24,'OHB NEW'!AU:AU)</f>
        <v>0</v>
      </c>
      <c r="AC24" s="123">
        <f>SUMIF('OHB NEW'!$Y:$Y,'Price Table 8 OHB'!$A24,'OHB NEW'!AV:AV)</f>
        <v>0</v>
      </c>
      <c r="AD24" s="123">
        <f>SUMIF('OHB NEW'!$Y:$Y,'Price Table 8 OHB'!$A24,'OHB NEW'!AW:AW)</f>
        <v>0</v>
      </c>
      <c r="AE24" s="123">
        <f>SUMIF('OHB NEW'!$Y:$Y,'Price Table 8 OHB'!$A24,'OHB NEW'!AX:AX)</f>
        <v>0</v>
      </c>
      <c r="AF24" s="123">
        <f>SUMIF('OHB NEW'!$Y:$Y,'Price Table 8 OHB'!$A24,'OHB NEW'!AY:AY)</f>
        <v>0</v>
      </c>
      <c r="AG24" s="123">
        <f>SUMIF('OHB NEW'!$Y:$Y,'Price Table 8 OHB'!$A24,'OHB NEW'!AZ:AZ)</f>
        <v>0</v>
      </c>
      <c r="AH24" s="115">
        <f t="shared" si="0"/>
        <v>0</v>
      </c>
      <c r="AI24" s="115">
        <f>SUMIF('OHB OLD'!$C:$C,'Price Table 8 OHB'!$A24,'OHB OLD'!AE:AE)</f>
        <v>0</v>
      </c>
      <c r="AJ24" s="115"/>
    </row>
    <row r="25" spans="1:38">
      <c r="A25" t="s">
        <v>573</v>
      </c>
      <c r="B25" s="51" t="s">
        <v>574</v>
      </c>
      <c r="C25" s="43"/>
      <c r="D25" s="44"/>
      <c r="E25" s="36" t="s">
        <v>14</v>
      </c>
      <c r="F25" s="36" t="s">
        <v>13</v>
      </c>
      <c r="G25" s="36" t="str">
        <f>CONCATENATE(E25,F25)</f>
        <v>MISSIONManpower</v>
      </c>
      <c r="H25" t="s">
        <v>639</v>
      </c>
      <c r="J25" s="123">
        <f>SUMIF('OHB NEW'!$Y:$Y,'Price Table 8 OHB'!$A25,'OHB NEW'!AC:AC)</f>
        <v>0</v>
      </c>
      <c r="K25" s="123">
        <f>SUMIF('OHB NEW'!$Y:$Y,'Price Table 8 OHB'!$A25,'OHB NEW'!AD:AD)</f>
        <v>0</v>
      </c>
      <c r="L25" s="123">
        <f>SUMIF('OHB NEW'!$Y:$Y,'Price Table 8 OHB'!$A25,'OHB NEW'!AE:AE)</f>
        <v>0</v>
      </c>
      <c r="M25" s="123">
        <f>SUMIF('OHB NEW'!$Y:$Y,'Price Table 8 OHB'!$A25,'OHB NEW'!AF:AF)</f>
        <v>0</v>
      </c>
      <c r="N25" s="123">
        <f>SUMIF('OHB NEW'!$Y:$Y,'Price Table 8 OHB'!$A25,'OHB NEW'!AG:AG)</f>
        <v>0</v>
      </c>
      <c r="O25" s="123">
        <f>SUMIF('OHB NEW'!$Y:$Y,'Price Table 8 OHB'!$A25,'OHB NEW'!AH:AH)</f>
        <v>0</v>
      </c>
      <c r="P25" s="123">
        <f>SUMIF('OHB NEW'!$Y:$Y,'Price Table 8 OHB'!$A25,'OHB NEW'!AI:AI)</f>
        <v>0</v>
      </c>
      <c r="Q25" s="123">
        <f>SUMIF('OHB NEW'!$Y:$Y,'Price Table 8 OHB'!$A25,'OHB NEW'!AJ:AJ)</f>
        <v>0</v>
      </c>
      <c r="R25" s="123">
        <f>SUMIF('OHB NEW'!$Y:$Y,'Price Table 8 OHB'!$A25,'OHB NEW'!AK:AK)</f>
        <v>0</v>
      </c>
      <c r="S25" s="123">
        <f>SUMIF('OHB NEW'!$Y:$Y,'Price Table 8 OHB'!$A25,'OHB NEW'!AL:AL)</f>
        <v>0</v>
      </c>
      <c r="T25" s="123">
        <f>SUMIF('OHB NEW'!$Y:$Y,'Price Table 8 OHB'!$A25,'OHB NEW'!AM:AM)</f>
        <v>0</v>
      </c>
      <c r="U25" s="123">
        <f>SUMIF('OHB NEW'!$Y:$Y,'Price Table 8 OHB'!$A25,'OHB NEW'!AN:AN)</f>
        <v>0</v>
      </c>
      <c r="V25" s="123">
        <f>SUMIF('OHB NEW'!$Y:$Y,'Price Table 8 OHB'!$A25,'OHB NEW'!AO:AO)</f>
        <v>0</v>
      </c>
      <c r="W25" s="123">
        <f>SUMIF('OHB NEW'!$Y:$Y,'Price Table 8 OHB'!$A25,'OHB NEW'!AP:AP)</f>
        <v>0</v>
      </c>
      <c r="X25" s="123">
        <f>SUMIF('OHB NEW'!$Y:$Y,'Price Table 8 OHB'!$A25,'OHB NEW'!AQ:AQ)</f>
        <v>0</v>
      </c>
      <c r="Y25" s="123">
        <f>SUMIF('OHB NEW'!$Y:$Y,'Price Table 8 OHB'!$A25,'OHB NEW'!AR:AR)</f>
        <v>0</v>
      </c>
      <c r="Z25" s="123">
        <f>SUMIF('OHB NEW'!$Y:$Y,'Price Table 8 OHB'!$A25,'OHB NEW'!AS:AS)</f>
        <v>0</v>
      </c>
      <c r="AA25" s="123">
        <f>SUMIF('OHB NEW'!$Y:$Y,'Price Table 8 OHB'!$A25,'OHB NEW'!AT:AT)</f>
        <v>0</v>
      </c>
      <c r="AB25" s="123">
        <f>SUMIF('OHB NEW'!$Y:$Y,'Price Table 8 OHB'!$A25,'OHB NEW'!AU:AU)</f>
        <v>0</v>
      </c>
      <c r="AC25" s="123">
        <f>SUMIF('OHB NEW'!$Y:$Y,'Price Table 8 OHB'!$A25,'OHB NEW'!AV:AV)</f>
        <v>0</v>
      </c>
      <c r="AD25" s="123">
        <f>SUMIF('OHB NEW'!$Y:$Y,'Price Table 8 OHB'!$A25,'OHB NEW'!AW:AW)</f>
        <v>0</v>
      </c>
      <c r="AE25" s="123">
        <f>SUMIF('OHB NEW'!$Y:$Y,'Price Table 8 OHB'!$A25,'OHB NEW'!AX:AX)</f>
        <v>0</v>
      </c>
      <c r="AF25" s="123">
        <f>SUMIF('OHB NEW'!$Y:$Y,'Price Table 8 OHB'!$A25,'OHB NEW'!AY:AY)</f>
        <v>0</v>
      </c>
      <c r="AG25" s="123">
        <f>SUMIF('OHB NEW'!$Y:$Y,'Price Table 8 OHB'!$A25,'OHB NEW'!AZ:AZ)</f>
        <v>0</v>
      </c>
      <c r="AH25" s="115">
        <f t="shared" si="0"/>
        <v>0</v>
      </c>
      <c r="AI25" s="115">
        <f>SUMIF('OHB OLD'!$C:$C,'Price Table 8 OHB'!$A25,'OHB OLD'!AE:AE)</f>
        <v>0</v>
      </c>
      <c r="AJ25" s="115"/>
    </row>
    <row r="26" spans="1:38" s="16" customFormat="1">
      <c r="B26" s="45"/>
      <c r="C26" s="55"/>
      <c r="D26" s="56" t="s">
        <v>562</v>
      </c>
      <c r="E26" s="57"/>
      <c r="F26" s="57"/>
      <c r="G26" s="57"/>
      <c r="H26"/>
    </row>
    <row r="27" spans="1:38">
      <c r="B27" s="48" t="s">
        <v>575</v>
      </c>
      <c r="C27" s="52"/>
      <c r="D27" s="50"/>
      <c r="H27"/>
      <c r="AI27"/>
    </row>
    <row r="28" spans="1:38">
      <c r="A28" t="s">
        <v>180</v>
      </c>
      <c r="B28" s="51" t="s">
        <v>576</v>
      </c>
      <c r="C28" s="53"/>
      <c r="D28" s="44"/>
      <c r="E28" s="37" t="s">
        <v>14</v>
      </c>
      <c r="F28" s="36" t="s">
        <v>13</v>
      </c>
      <c r="G28" s="36" t="str">
        <f>CONCATENATE(E28,F28)</f>
        <v>MISSIONManpower</v>
      </c>
      <c r="H28" s="61">
        <v>430000</v>
      </c>
      <c r="I28" s="18" t="s">
        <v>577</v>
      </c>
      <c r="J28" s="123">
        <f>SUMIF('OHB NEW'!$Y:$Y,'Price Table 8 OHB'!$A28,'OHB NEW'!AC:AC)</f>
        <v>0</v>
      </c>
      <c r="K28" s="123">
        <f>SUMIF('OHB NEW'!$Y:$Y,'Price Table 8 OHB'!$A28,'OHB NEW'!AD:AD)</f>
        <v>0</v>
      </c>
      <c r="L28" s="123">
        <f>SUMIF('OHB NEW'!$Y:$Y,'Price Table 8 OHB'!$A28,'OHB NEW'!AE:AE)</f>
        <v>0</v>
      </c>
      <c r="M28" s="123">
        <f>SUMIF('OHB NEW'!$Y:$Y,'Price Table 8 OHB'!$A28,'OHB NEW'!AF:AF)</f>
        <v>0</v>
      </c>
      <c r="N28" s="123">
        <f>SUMIF('OHB NEW'!$Y:$Y,'Price Table 8 OHB'!$A28,'OHB NEW'!AG:AG)</f>
        <v>0</v>
      </c>
      <c r="O28" s="123">
        <f>SUMIF('OHB NEW'!$Y:$Y,'Price Table 8 OHB'!$A28,'OHB NEW'!AH:AH)</f>
        <v>0</v>
      </c>
      <c r="P28" s="123">
        <f>SUMIF('OHB NEW'!$Y:$Y,'Price Table 8 OHB'!$A28,'OHB NEW'!AI:AI)</f>
        <v>0</v>
      </c>
      <c r="Q28" s="123">
        <f>SUMIF('OHB NEW'!$Y:$Y,'Price Table 8 OHB'!$A28,'OHB NEW'!AJ:AJ)</f>
        <v>0</v>
      </c>
      <c r="R28" s="123">
        <f>SUMIF('OHB NEW'!$Y:$Y,'Price Table 8 OHB'!$A28,'OHB NEW'!AK:AK)</f>
        <v>0</v>
      </c>
      <c r="S28" s="123">
        <f>SUMIF('OHB NEW'!$Y:$Y,'Price Table 8 OHB'!$A28,'OHB NEW'!AL:AL)</f>
        <v>0</v>
      </c>
      <c r="T28" s="123">
        <f>SUMIF('OHB NEW'!$Y:$Y,'Price Table 8 OHB'!$A28,'OHB NEW'!AM:AM)</f>
        <v>0</v>
      </c>
      <c r="U28" s="123">
        <f>SUMIF('OHB NEW'!$Y:$Y,'Price Table 8 OHB'!$A28,'OHB NEW'!AN:AN)</f>
        <v>0</v>
      </c>
      <c r="V28" s="123">
        <f>SUMIF('OHB NEW'!$Y:$Y,'Price Table 8 OHB'!$A28,'OHB NEW'!AO:AO)</f>
        <v>0</v>
      </c>
      <c r="W28" s="123">
        <f>SUMIF('OHB NEW'!$Y:$Y,'Price Table 8 OHB'!$A28,'OHB NEW'!AP:AP)</f>
        <v>0</v>
      </c>
      <c r="X28" s="123">
        <f>SUMIF('OHB NEW'!$Y:$Y,'Price Table 8 OHB'!$A28,'OHB NEW'!AQ:AQ)</f>
        <v>0</v>
      </c>
      <c r="Y28" s="123">
        <f>SUMIF('OHB NEW'!$Y:$Y,'Price Table 8 OHB'!$A28,'OHB NEW'!AR:AR)</f>
        <v>0</v>
      </c>
      <c r="Z28" s="123">
        <f>SUMIF('OHB NEW'!$Y:$Y,'Price Table 8 OHB'!$A28,'OHB NEW'!AS:AS)</f>
        <v>0</v>
      </c>
      <c r="AA28" s="123">
        <f>SUMIF('OHB NEW'!$Y:$Y,'Price Table 8 OHB'!$A28,'OHB NEW'!AT:AT)</f>
        <v>0</v>
      </c>
      <c r="AB28" s="123">
        <f>SUMIF('OHB NEW'!$Y:$Y,'Price Table 8 OHB'!$A28,'OHB NEW'!AU:AU)</f>
        <v>0</v>
      </c>
      <c r="AC28" s="123">
        <f>SUMIF('OHB NEW'!$Y:$Y,'Price Table 8 OHB'!$A28,'OHB NEW'!AV:AV)</f>
        <v>0</v>
      </c>
      <c r="AD28" s="123">
        <f>SUMIF('OHB NEW'!$Y:$Y,'Price Table 8 OHB'!$A28,'OHB NEW'!AW:AW)</f>
        <v>0</v>
      </c>
      <c r="AE28" s="123">
        <f>SUMIF('OHB NEW'!$Y:$Y,'Price Table 8 OHB'!$A28,'OHB NEW'!AX:AX)</f>
        <v>0</v>
      </c>
      <c r="AF28" s="123">
        <f>SUMIF('OHB NEW'!$Y:$Y,'Price Table 8 OHB'!$A28,'OHB NEW'!AY:AY)</f>
        <v>0</v>
      </c>
      <c r="AG28" s="123">
        <f>SUMIF('OHB NEW'!$Y:$Y,'Price Table 8 OHB'!$A28,'OHB NEW'!AZ:AZ)</f>
        <v>0</v>
      </c>
      <c r="AH28" s="115">
        <f t="shared" si="0"/>
        <v>0</v>
      </c>
      <c r="AI28" s="115">
        <f>SUMIF('OHB OLD'!$C:$C,'Price Table 8 OHB'!$A28,'OHB OLD'!AE:AE)</f>
        <v>0</v>
      </c>
      <c r="AJ28" s="115"/>
    </row>
    <row r="29" spans="1:38">
      <c r="A29" t="s">
        <v>578</v>
      </c>
      <c r="B29" s="51" t="s">
        <v>579</v>
      </c>
      <c r="C29" s="53"/>
      <c r="D29" s="44"/>
      <c r="E29" s="37" t="s">
        <v>14</v>
      </c>
      <c r="F29" s="36" t="s">
        <v>117</v>
      </c>
      <c r="G29" s="36" t="str">
        <f>CONCATENATE(E29,F29)</f>
        <v>MISSIONProcurement</v>
      </c>
      <c r="H29" s="16">
        <v>430000</v>
      </c>
      <c r="I29" s="18" t="s">
        <v>577</v>
      </c>
      <c r="J29" s="123">
        <f>SUMIF('OHB NEW'!$Y:$Y,'Price Table 8 OHB'!$A29,'OHB NEW'!AC:AC)</f>
        <v>0</v>
      </c>
      <c r="K29" s="123">
        <f>SUMIF('OHB NEW'!$Y:$Y,'Price Table 8 OHB'!$A29,'OHB NEW'!AD:AD)</f>
        <v>0</v>
      </c>
      <c r="L29" s="123">
        <f>SUMIF('OHB NEW'!$Y:$Y,'Price Table 8 OHB'!$A29,'OHB NEW'!AE:AE)</f>
        <v>0</v>
      </c>
      <c r="M29" s="123">
        <f>SUMIF('OHB NEW'!$Y:$Y,'Price Table 8 OHB'!$A29,'OHB NEW'!AF:AF)</f>
        <v>0</v>
      </c>
      <c r="N29" s="123">
        <f>SUMIF('OHB NEW'!$Y:$Y,'Price Table 8 OHB'!$A29,'OHB NEW'!AG:AG)</f>
        <v>0</v>
      </c>
      <c r="O29" s="123">
        <f>SUMIF('OHB NEW'!$Y:$Y,'Price Table 8 OHB'!$A29,'OHB NEW'!AH:AH)</f>
        <v>0</v>
      </c>
      <c r="P29" s="123">
        <f>SUMIF('OHB NEW'!$Y:$Y,'Price Table 8 OHB'!$A29,'OHB NEW'!AI:AI)</f>
        <v>0</v>
      </c>
      <c r="Q29" s="123">
        <f>SUMIF('OHB NEW'!$Y:$Y,'Price Table 8 OHB'!$A29,'OHB NEW'!AJ:AJ)</f>
        <v>0</v>
      </c>
      <c r="R29" s="123">
        <f>SUMIF('OHB NEW'!$Y:$Y,'Price Table 8 OHB'!$A29,'OHB NEW'!AK:AK)</f>
        <v>0</v>
      </c>
      <c r="S29" s="123">
        <f>SUMIF('OHB NEW'!$Y:$Y,'Price Table 8 OHB'!$A29,'OHB NEW'!AL:AL)</f>
        <v>0</v>
      </c>
      <c r="T29" s="123">
        <f>SUMIF('OHB NEW'!$Y:$Y,'Price Table 8 OHB'!$A29,'OHB NEW'!AM:AM)</f>
        <v>0</v>
      </c>
      <c r="U29" s="123">
        <f>SUMIF('OHB NEW'!$Y:$Y,'Price Table 8 OHB'!$A29,'OHB NEW'!AN:AN)</f>
        <v>0</v>
      </c>
      <c r="V29" s="123">
        <f>SUMIF('OHB NEW'!$Y:$Y,'Price Table 8 OHB'!$A29,'OHB NEW'!AO:AO)</f>
        <v>0</v>
      </c>
      <c r="W29" s="123">
        <f>SUMIF('OHB NEW'!$Y:$Y,'Price Table 8 OHB'!$A29,'OHB NEW'!AP:AP)</f>
        <v>0</v>
      </c>
      <c r="X29" s="123">
        <f>SUMIF('OHB NEW'!$Y:$Y,'Price Table 8 OHB'!$A29,'OHB NEW'!AQ:AQ)</f>
        <v>0</v>
      </c>
      <c r="Y29" s="123">
        <f>SUMIF('OHB NEW'!$Y:$Y,'Price Table 8 OHB'!$A29,'OHB NEW'!AR:AR)</f>
        <v>0</v>
      </c>
      <c r="Z29" s="123">
        <f>SUMIF('OHB NEW'!$Y:$Y,'Price Table 8 OHB'!$A29,'OHB NEW'!AS:AS)</f>
        <v>0</v>
      </c>
      <c r="AA29" s="123">
        <f>SUMIF('OHB NEW'!$Y:$Y,'Price Table 8 OHB'!$A29,'OHB NEW'!AT:AT)</f>
        <v>0</v>
      </c>
      <c r="AB29" s="123">
        <f>SUMIF('OHB NEW'!$Y:$Y,'Price Table 8 OHB'!$A29,'OHB NEW'!AU:AU)</f>
        <v>0</v>
      </c>
      <c r="AC29" s="123">
        <f>SUMIF('OHB NEW'!$Y:$Y,'Price Table 8 OHB'!$A29,'OHB NEW'!AV:AV)</f>
        <v>0</v>
      </c>
      <c r="AD29" s="123">
        <f>SUMIF('OHB NEW'!$Y:$Y,'Price Table 8 OHB'!$A29,'OHB NEW'!AW:AW)</f>
        <v>0</v>
      </c>
      <c r="AE29" s="123">
        <f>SUMIF('OHB NEW'!$Y:$Y,'Price Table 8 OHB'!$A29,'OHB NEW'!AX:AX)</f>
        <v>0</v>
      </c>
      <c r="AF29" s="123">
        <f>SUMIF('OHB NEW'!$Y:$Y,'Price Table 8 OHB'!$A29,'OHB NEW'!AY:AY)</f>
        <v>0</v>
      </c>
      <c r="AG29" s="123">
        <f>SUMIF('OHB NEW'!$Y:$Y,'Price Table 8 OHB'!$A29,'OHB NEW'!AZ:AZ)</f>
        <v>0</v>
      </c>
      <c r="AH29" s="115">
        <f t="shared" si="0"/>
        <v>0</v>
      </c>
      <c r="AI29" s="115">
        <f>SUMIF('OHB OLD'!$C:$C,'Price Table 8 OHB'!$A29,'OHB OLD'!AE:AE)</f>
        <v>0</v>
      </c>
      <c r="AJ29" s="115"/>
    </row>
    <row r="30" spans="1:38" s="16" customFormat="1">
      <c r="B30" s="45"/>
      <c r="C30" s="55"/>
      <c r="D30" s="56" t="s">
        <v>562</v>
      </c>
      <c r="E30" s="57"/>
      <c r="F30" s="57"/>
      <c r="G30" s="57"/>
      <c r="H30"/>
    </row>
    <row r="31" spans="1:38">
      <c r="B31" s="48" t="s">
        <v>580</v>
      </c>
      <c r="C31" s="52"/>
      <c r="D31" s="50"/>
      <c r="E31" s="37"/>
      <c r="F31" s="37"/>
      <c r="G31" s="37"/>
      <c r="H31" s="62"/>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row>
    <row r="32" spans="1:38">
      <c r="A32" t="s">
        <v>173</v>
      </c>
      <c r="B32" s="51" t="s">
        <v>581</v>
      </c>
      <c r="C32" s="53"/>
      <c r="D32" s="44"/>
      <c r="E32" s="37" t="s">
        <v>14</v>
      </c>
      <c r="F32" s="36" t="s">
        <v>13</v>
      </c>
      <c r="G32" s="36" t="str">
        <f>CONCATENATE(E32,F32)</f>
        <v>MISSIONManpower</v>
      </c>
      <c r="H32" s="61">
        <v>420000</v>
      </c>
      <c r="I32" s="18" t="s">
        <v>577</v>
      </c>
      <c r="J32" s="123">
        <f>SUMIF('OHB NEW'!$Y:$Y,'Price Table 8 OHB'!$A32,'OHB NEW'!AC:AC)</f>
        <v>0</v>
      </c>
      <c r="K32" s="123">
        <f>SUMIF('OHB NEW'!$Y:$Y,'Price Table 8 OHB'!$A32,'OHB NEW'!AD:AD)</f>
        <v>0</v>
      </c>
      <c r="L32" s="123">
        <f>SUMIF('OHB NEW'!$Y:$Y,'Price Table 8 OHB'!$A32,'OHB NEW'!AE:AE)</f>
        <v>0</v>
      </c>
      <c r="M32" s="123">
        <f>SUMIF('OHB NEW'!$Y:$Y,'Price Table 8 OHB'!$A32,'OHB NEW'!AF:AF)</f>
        <v>0</v>
      </c>
      <c r="N32" s="123">
        <f>SUMIF('OHB NEW'!$Y:$Y,'Price Table 8 OHB'!$A32,'OHB NEW'!AG:AG)</f>
        <v>0</v>
      </c>
      <c r="O32" s="123">
        <f>SUMIF('OHB NEW'!$Y:$Y,'Price Table 8 OHB'!$A32,'OHB NEW'!AH:AH)</f>
        <v>0</v>
      </c>
      <c r="P32" s="123">
        <f>SUMIF('OHB NEW'!$Y:$Y,'Price Table 8 OHB'!$A32,'OHB NEW'!AI:AI)</f>
        <v>0</v>
      </c>
      <c r="Q32" s="123">
        <f>SUMIF('OHB NEW'!$Y:$Y,'Price Table 8 OHB'!$A32,'OHB NEW'!AJ:AJ)</f>
        <v>0</v>
      </c>
      <c r="R32" s="123">
        <f>SUMIF('OHB NEW'!$Y:$Y,'Price Table 8 OHB'!$A32,'OHB NEW'!AK:AK)</f>
        <v>0</v>
      </c>
      <c r="S32" s="123">
        <f>SUMIF('OHB NEW'!$Y:$Y,'Price Table 8 OHB'!$A32,'OHB NEW'!AL:AL)</f>
        <v>0</v>
      </c>
      <c r="T32" s="123">
        <f>SUMIF('OHB NEW'!$Y:$Y,'Price Table 8 OHB'!$A32,'OHB NEW'!AM:AM)</f>
        <v>0</v>
      </c>
      <c r="U32" s="123">
        <f>SUMIF('OHB NEW'!$Y:$Y,'Price Table 8 OHB'!$A32,'OHB NEW'!AN:AN)</f>
        <v>0</v>
      </c>
      <c r="V32" s="123">
        <f>SUMIF('OHB NEW'!$Y:$Y,'Price Table 8 OHB'!$A32,'OHB NEW'!AO:AO)</f>
        <v>0</v>
      </c>
      <c r="W32" s="123">
        <f>SUMIF('OHB NEW'!$Y:$Y,'Price Table 8 OHB'!$A32,'OHB NEW'!AP:AP)</f>
        <v>0</v>
      </c>
      <c r="X32" s="123">
        <f>SUMIF('OHB NEW'!$Y:$Y,'Price Table 8 OHB'!$A32,'OHB NEW'!AQ:AQ)</f>
        <v>0</v>
      </c>
      <c r="Y32" s="123">
        <f>SUMIF('OHB NEW'!$Y:$Y,'Price Table 8 OHB'!$A32,'OHB NEW'!AR:AR)</f>
        <v>0</v>
      </c>
      <c r="Z32" s="123">
        <f>SUMIF('OHB NEW'!$Y:$Y,'Price Table 8 OHB'!$A32,'OHB NEW'!AS:AS)</f>
        <v>0</v>
      </c>
      <c r="AA32" s="123">
        <f>SUMIF('OHB NEW'!$Y:$Y,'Price Table 8 OHB'!$A32,'OHB NEW'!AT:AT)</f>
        <v>0</v>
      </c>
      <c r="AB32" s="123">
        <f>SUMIF('OHB NEW'!$Y:$Y,'Price Table 8 OHB'!$A32,'OHB NEW'!AU:AU)</f>
        <v>0</v>
      </c>
      <c r="AC32" s="123">
        <f>SUMIF('OHB NEW'!$Y:$Y,'Price Table 8 OHB'!$A32,'OHB NEW'!AV:AV)</f>
        <v>0</v>
      </c>
      <c r="AD32" s="123">
        <f>SUMIF('OHB NEW'!$Y:$Y,'Price Table 8 OHB'!$A32,'OHB NEW'!AW:AW)</f>
        <v>0</v>
      </c>
      <c r="AE32" s="123">
        <f>SUMIF('OHB NEW'!$Y:$Y,'Price Table 8 OHB'!$A32,'OHB NEW'!AX:AX)</f>
        <v>0</v>
      </c>
      <c r="AF32" s="123">
        <f>SUMIF('OHB NEW'!$Y:$Y,'Price Table 8 OHB'!$A32,'OHB NEW'!AY:AY)</f>
        <v>0</v>
      </c>
      <c r="AG32" s="123">
        <f>SUMIF('OHB NEW'!$Y:$Y,'Price Table 8 OHB'!$A32,'OHB NEW'!AZ:AZ)</f>
        <v>0</v>
      </c>
      <c r="AH32" s="115">
        <f t="shared" si="0"/>
        <v>0</v>
      </c>
      <c r="AI32" s="115">
        <f>SUMIF('OHB OLD'!$C:$C,'Price Table 8 OHB'!$A32,'OHB OLD'!AE:AE)</f>
        <v>0</v>
      </c>
      <c r="AJ32" s="115"/>
    </row>
    <row r="33" spans="1:37">
      <c r="A33" t="s">
        <v>582</v>
      </c>
      <c r="B33" s="51" t="s">
        <v>583</v>
      </c>
      <c r="C33" s="53"/>
      <c r="D33" s="44"/>
      <c r="E33" s="37" t="s">
        <v>14</v>
      </c>
      <c r="F33" s="36" t="s">
        <v>117</v>
      </c>
      <c r="G33" s="36" t="str">
        <f>CONCATENATE(E33,F33)</f>
        <v>MISSIONProcurement</v>
      </c>
      <c r="H33" s="61">
        <v>420000</v>
      </c>
      <c r="I33" s="18" t="s">
        <v>577</v>
      </c>
      <c r="J33" s="123">
        <f>SUMIF('OHB NEW'!$Y:$Y,'Price Table 8 OHB'!$A33,'OHB NEW'!AC:AC)</f>
        <v>0</v>
      </c>
      <c r="K33" s="123">
        <f>SUMIF('OHB NEW'!$Y:$Y,'Price Table 8 OHB'!$A33,'OHB NEW'!AD:AD)</f>
        <v>0</v>
      </c>
      <c r="L33" s="123">
        <f>SUMIF('OHB NEW'!$Y:$Y,'Price Table 8 OHB'!$A33,'OHB NEW'!AE:AE)</f>
        <v>0</v>
      </c>
      <c r="M33" s="123">
        <f>SUMIF('OHB NEW'!$Y:$Y,'Price Table 8 OHB'!$A33,'OHB NEW'!AF:AF)</f>
        <v>0</v>
      </c>
      <c r="N33" s="123">
        <f>SUMIF('OHB NEW'!$Y:$Y,'Price Table 8 OHB'!$A33,'OHB NEW'!AG:AG)</f>
        <v>0</v>
      </c>
      <c r="O33" s="123">
        <f>SUMIF('OHB NEW'!$Y:$Y,'Price Table 8 OHB'!$A33,'OHB NEW'!AH:AH)</f>
        <v>0</v>
      </c>
      <c r="P33" s="123">
        <f>SUMIF('OHB NEW'!$Y:$Y,'Price Table 8 OHB'!$A33,'OHB NEW'!AI:AI)</f>
        <v>0</v>
      </c>
      <c r="Q33" s="123">
        <f>SUMIF('OHB NEW'!$Y:$Y,'Price Table 8 OHB'!$A33,'OHB NEW'!AJ:AJ)</f>
        <v>0</v>
      </c>
      <c r="R33" s="123">
        <f>SUMIF('OHB NEW'!$Y:$Y,'Price Table 8 OHB'!$A33,'OHB NEW'!AK:AK)</f>
        <v>0</v>
      </c>
      <c r="S33" s="123">
        <f>SUMIF('OHB NEW'!$Y:$Y,'Price Table 8 OHB'!$A33,'OHB NEW'!AL:AL)</f>
        <v>0</v>
      </c>
      <c r="T33" s="123">
        <f>SUMIF('OHB NEW'!$Y:$Y,'Price Table 8 OHB'!$A33,'OHB NEW'!AM:AM)</f>
        <v>0</v>
      </c>
      <c r="U33" s="123">
        <f>SUMIF('OHB NEW'!$Y:$Y,'Price Table 8 OHB'!$A33,'OHB NEW'!AN:AN)</f>
        <v>0</v>
      </c>
      <c r="V33" s="123">
        <f>SUMIF('OHB NEW'!$Y:$Y,'Price Table 8 OHB'!$A33,'OHB NEW'!AO:AO)</f>
        <v>0</v>
      </c>
      <c r="W33" s="123">
        <f>SUMIF('OHB NEW'!$Y:$Y,'Price Table 8 OHB'!$A33,'OHB NEW'!AP:AP)</f>
        <v>0</v>
      </c>
      <c r="X33" s="123">
        <f>SUMIF('OHB NEW'!$Y:$Y,'Price Table 8 OHB'!$A33,'OHB NEW'!AQ:AQ)</f>
        <v>0</v>
      </c>
      <c r="Y33" s="123">
        <f>SUMIF('OHB NEW'!$Y:$Y,'Price Table 8 OHB'!$A33,'OHB NEW'!AR:AR)</f>
        <v>0</v>
      </c>
      <c r="Z33" s="123">
        <f>SUMIF('OHB NEW'!$Y:$Y,'Price Table 8 OHB'!$A33,'OHB NEW'!AS:AS)</f>
        <v>0</v>
      </c>
      <c r="AA33" s="123">
        <f>SUMIF('OHB NEW'!$Y:$Y,'Price Table 8 OHB'!$A33,'OHB NEW'!AT:AT)</f>
        <v>0</v>
      </c>
      <c r="AB33" s="123">
        <f>SUMIF('OHB NEW'!$Y:$Y,'Price Table 8 OHB'!$A33,'OHB NEW'!AU:AU)</f>
        <v>0</v>
      </c>
      <c r="AC33" s="123">
        <f>SUMIF('OHB NEW'!$Y:$Y,'Price Table 8 OHB'!$A33,'OHB NEW'!AV:AV)</f>
        <v>0</v>
      </c>
      <c r="AD33" s="123">
        <f>SUMIF('OHB NEW'!$Y:$Y,'Price Table 8 OHB'!$A33,'OHB NEW'!AW:AW)</f>
        <v>0</v>
      </c>
      <c r="AE33" s="123">
        <f>SUMIF('OHB NEW'!$Y:$Y,'Price Table 8 OHB'!$A33,'OHB NEW'!AX:AX)</f>
        <v>0</v>
      </c>
      <c r="AF33" s="123">
        <f>SUMIF('OHB NEW'!$Y:$Y,'Price Table 8 OHB'!$A33,'OHB NEW'!AY:AY)</f>
        <v>0</v>
      </c>
      <c r="AG33" s="123">
        <f>SUMIF('OHB NEW'!$Y:$Y,'Price Table 8 OHB'!$A33,'OHB NEW'!AZ:AZ)</f>
        <v>0</v>
      </c>
      <c r="AH33" s="115">
        <f t="shared" si="0"/>
        <v>0</v>
      </c>
      <c r="AI33" s="115">
        <f>SUMIF('OHB OLD'!$C:$C,'Price Table 8 OHB'!$A33,'OHB OLD'!AE:AE)</f>
        <v>0</v>
      </c>
      <c r="AJ33" s="115"/>
    </row>
    <row r="34" spans="1:37" s="16" customFormat="1">
      <c r="B34" s="45"/>
      <c r="C34" s="55"/>
      <c r="D34" s="56" t="s">
        <v>562</v>
      </c>
      <c r="E34" s="57"/>
      <c r="F34" s="57"/>
      <c r="G34" s="57"/>
      <c r="H34" s="17"/>
    </row>
    <row r="35" spans="1:37">
      <c r="B35" s="48" t="s">
        <v>584</v>
      </c>
      <c r="C35" s="52"/>
      <c r="D35" s="50"/>
      <c r="H35"/>
      <c r="AI35"/>
    </row>
    <row r="36" spans="1:37">
      <c r="A36" t="s">
        <v>187</v>
      </c>
      <c r="B36" s="51" t="s">
        <v>585</v>
      </c>
      <c r="C36" s="53"/>
      <c r="D36" s="44"/>
      <c r="E36" s="37" t="s">
        <v>14</v>
      </c>
      <c r="F36" s="36" t="s">
        <v>13</v>
      </c>
      <c r="G36" s="36" t="str">
        <f>CONCATENATE(E36,F36)</f>
        <v>MISSIONManpower</v>
      </c>
      <c r="H36" s="61">
        <v>440000</v>
      </c>
      <c r="I36" t="s">
        <v>586</v>
      </c>
      <c r="J36" s="123">
        <f>SUMIF('OHB NEW'!$Y:$Y,'Price Table 8 OHB'!$A36,'OHB NEW'!AC:AC)</f>
        <v>0</v>
      </c>
      <c r="K36" s="123">
        <f>SUMIF('OHB NEW'!$Y:$Y,'Price Table 8 OHB'!$A36,'OHB NEW'!AD:AD)</f>
        <v>0</v>
      </c>
      <c r="L36" s="123">
        <f>SUMIF('OHB NEW'!$Y:$Y,'Price Table 8 OHB'!$A36,'OHB NEW'!AE:AE)</f>
        <v>0</v>
      </c>
      <c r="M36" s="123">
        <f>SUMIF('OHB NEW'!$Y:$Y,'Price Table 8 OHB'!$A36,'OHB NEW'!AF:AF)</f>
        <v>0</v>
      </c>
      <c r="N36" s="123">
        <f>SUMIF('OHB NEW'!$Y:$Y,'Price Table 8 OHB'!$A36,'OHB NEW'!AG:AG)</f>
        <v>0</v>
      </c>
      <c r="O36" s="123">
        <f>SUMIF('OHB NEW'!$Y:$Y,'Price Table 8 OHB'!$A36,'OHB NEW'!AH:AH)</f>
        <v>0</v>
      </c>
      <c r="P36" s="123">
        <f>SUMIF('OHB NEW'!$Y:$Y,'Price Table 8 OHB'!$A36,'OHB NEW'!AI:AI)</f>
        <v>0</v>
      </c>
      <c r="Q36" s="123">
        <f>SUMIF('OHB NEW'!$Y:$Y,'Price Table 8 OHB'!$A36,'OHB NEW'!AJ:AJ)</f>
        <v>0</v>
      </c>
      <c r="R36" s="123">
        <f>SUMIF('OHB NEW'!$Y:$Y,'Price Table 8 OHB'!$A36,'OHB NEW'!AK:AK)</f>
        <v>0</v>
      </c>
      <c r="S36" s="123">
        <f>SUMIF('OHB NEW'!$Y:$Y,'Price Table 8 OHB'!$A36,'OHB NEW'!AL:AL)</f>
        <v>0</v>
      </c>
      <c r="T36" s="123">
        <f>SUMIF('OHB NEW'!$Y:$Y,'Price Table 8 OHB'!$A36,'OHB NEW'!AM:AM)</f>
        <v>0</v>
      </c>
      <c r="U36" s="123">
        <f>SUMIF('OHB NEW'!$Y:$Y,'Price Table 8 OHB'!$A36,'OHB NEW'!AN:AN)</f>
        <v>0</v>
      </c>
      <c r="V36" s="123">
        <f>SUMIF('OHB NEW'!$Y:$Y,'Price Table 8 OHB'!$A36,'OHB NEW'!AO:AO)</f>
        <v>0</v>
      </c>
      <c r="W36" s="123">
        <f>SUMIF('OHB NEW'!$Y:$Y,'Price Table 8 OHB'!$A36,'OHB NEW'!AP:AP)</f>
        <v>0</v>
      </c>
      <c r="X36" s="123">
        <f>SUMIF('OHB NEW'!$Y:$Y,'Price Table 8 OHB'!$A36,'OHB NEW'!AQ:AQ)</f>
        <v>0</v>
      </c>
      <c r="Y36" s="123">
        <f>SUMIF('OHB NEW'!$Y:$Y,'Price Table 8 OHB'!$A36,'OHB NEW'!AR:AR)</f>
        <v>0</v>
      </c>
      <c r="Z36" s="123">
        <f>SUMIF('OHB NEW'!$Y:$Y,'Price Table 8 OHB'!$A36,'OHB NEW'!AS:AS)</f>
        <v>0</v>
      </c>
      <c r="AA36" s="123">
        <f>SUMIF('OHB NEW'!$Y:$Y,'Price Table 8 OHB'!$A36,'OHB NEW'!AT:AT)</f>
        <v>0</v>
      </c>
      <c r="AB36" s="123">
        <f>SUMIF('OHB NEW'!$Y:$Y,'Price Table 8 OHB'!$A36,'OHB NEW'!AU:AU)</f>
        <v>0</v>
      </c>
      <c r="AC36" s="123">
        <f>SUMIF('OHB NEW'!$Y:$Y,'Price Table 8 OHB'!$A36,'OHB NEW'!AV:AV)</f>
        <v>0</v>
      </c>
      <c r="AD36" s="123">
        <f>SUMIF('OHB NEW'!$Y:$Y,'Price Table 8 OHB'!$A36,'OHB NEW'!AW:AW)</f>
        <v>0</v>
      </c>
      <c r="AE36" s="123">
        <f>SUMIF('OHB NEW'!$Y:$Y,'Price Table 8 OHB'!$A36,'OHB NEW'!AX:AX)</f>
        <v>0</v>
      </c>
      <c r="AF36" s="123">
        <f>SUMIF('OHB NEW'!$Y:$Y,'Price Table 8 OHB'!$A36,'OHB NEW'!AY:AY)</f>
        <v>0</v>
      </c>
      <c r="AG36" s="123">
        <f>SUMIF('OHB NEW'!$Y:$Y,'Price Table 8 OHB'!$A36,'OHB NEW'!AZ:AZ)</f>
        <v>0</v>
      </c>
      <c r="AH36" s="115">
        <f t="shared" si="0"/>
        <v>0</v>
      </c>
      <c r="AI36" s="115">
        <f>SUMIF('OHB OLD'!$C:$C,'Price Table 8 OHB'!$A36,'OHB OLD'!AE:AE)</f>
        <v>0</v>
      </c>
      <c r="AJ36" s="115"/>
    </row>
    <row r="37" spans="1:37">
      <c r="A37" t="s">
        <v>587</v>
      </c>
      <c r="B37" s="51" t="s">
        <v>588</v>
      </c>
      <c r="C37" s="53"/>
      <c r="D37" s="44"/>
      <c r="E37" s="37" t="s">
        <v>14</v>
      </c>
      <c r="F37" s="36" t="s">
        <v>117</v>
      </c>
      <c r="G37" s="36" t="str">
        <f>CONCATENATE(E37,F37)</f>
        <v>MISSIONProcurement</v>
      </c>
      <c r="H37"/>
      <c r="J37" s="123">
        <f>SUMIF('OHB NEW'!$Y:$Y,'Price Table 8 OHB'!$A37,'OHB NEW'!AC:AC)</f>
        <v>0</v>
      </c>
      <c r="K37" s="123">
        <f>SUMIF('OHB NEW'!$Y:$Y,'Price Table 8 OHB'!$A37,'OHB NEW'!AD:AD)</f>
        <v>0</v>
      </c>
      <c r="L37" s="123">
        <f>SUMIF('OHB NEW'!$Y:$Y,'Price Table 8 OHB'!$A37,'OHB NEW'!AE:AE)</f>
        <v>0</v>
      </c>
      <c r="M37" s="123">
        <f>SUMIF('OHB NEW'!$Y:$Y,'Price Table 8 OHB'!$A37,'OHB NEW'!AF:AF)</f>
        <v>0</v>
      </c>
      <c r="N37" s="123">
        <f>SUMIF('OHB NEW'!$Y:$Y,'Price Table 8 OHB'!$A37,'OHB NEW'!AG:AG)</f>
        <v>0</v>
      </c>
      <c r="O37" s="123">
        <f>SUMIF('OHB NEW'!$Y:$Y,'Price Table 8 OHB'!$A37,'OHB NEW'!AH:AH)</f>
        <v>0</v>
      </c>
      <c r="P37" s="123">
        <f>SUMIF('OHB NEW'!$Y:$Y,'Price Table 8 OHB'!$A37,'OHB NEW'!AI:AI)</f>
        <v>0</v>
      </c>
      <c r="Q37" s="123">
        <f>SUMIF('OHB NEW'!$Y:$Y,'Price Table 8 OHB'!$A37,'OHB NEW'!AJ:AJ)</f>
        <v>0</v>
      </c>
      <c r="R37" s="123">
        <f>SUMIF('OHB NEW'!$Y:$Y,'Price Table 8 OHB'!$A37,'OHB NEW'!AK:AK)</f>
        <v>0</v>
      </c>
      <c r="S37" s="123">
        <f>SUMIF('OHB NEW'!$Y:$Y,'Price Table 8 OHB'!$A37,'OHB NEW'!AL:AL)</f>
        <v>0</v>
      </c>
      <c r="T37" s="123">
        <f>SUMIF('OHB NEW'!$Y:$Y,'Price Table 8 OHB'!$A37,'OHB NEW'!AM:AM)</f>
        <v>0</v>
      </c>
      <c r="U37" s="123">
        <f>SUMIF('OHB NEW'!$Y:$Y,'Price Table 8 OHB'!$A37,'OHB NEW'!AN:AN)</f>
        <v>0</v>
      </c>
      <c r="V37" s="123">
        <f>SUMIF('OHB NEW'!$Y:$Y,'Price Table 8 OHB'!$A37,'OHB NEW'!AO:AO)</f>
        <v>0</v>
      </c>
      <c r="W37" s="123">
        <f>SUMIF('OHB NEW'!$Y:$Y,'Price Table 8 OHB'!$A37,'OHB NEW'!AP:AP)</f>
        <v>0</v>
      </c>
      <c r="X37" s="123">
        <f>SUMIF('OHB NEW'!$Y:$Y,'Price Table 8 OHB'!$A37,'OHB NEW'!AQ:AQ)</f>
        <v>0</v>
      </c>
      <c r="Y37" s="123">
        <f>SUMIF('OHB NEW'!$Y:$Y,'Price Table 8 OHB'!$A37,'OHB NEW'!AR:AR)</f>
        <v>0</v>
      </c>
      <c r="Z37" s="123">
        <f>SUMIF('OHB NEW'!$Y:$Y,'Price Table 8 OHB'!$A37,'OHB NEW'!AS:AS)</f>
        <v>0</v>
      </c>
      <c r="AA37" s="123">
        <f>SUMIF('OHB NEW'!$Y:$Y,'Price Table 8 OHB'!$A37,'OHB NEW'!AT:AT)</f>
        <v>0</v>
      </c>
      <c r="AB37" s="123">
        <f>SUMIF('OHB NEW'!$Y:$Y,'Price Table 8 OHB'!$A37,'OHB NEW'!AU:AU)</f>
        <v>0</v>
      </c>
      <c r="AC37" s="123">
        <f>SUMIF('OHB NEW'!$Y:$Y,'Price Table 8 OHB'!$A37,'OHB NEW'!AV:AV)</f>
        <v>0</v>
      </c>
      <c r="AD37" s="123">
        <f>SUMIF('OHB NEW'!$Y:$Y,'Price Table 8 OHB'!$A37,'OHB NEW'!AW:AW)</f>
        <v>0</v>
      </c>
      <c r="AE37" s="123">
        <f>SUMIF('OHB NEW'!$Y:$Y,'Price Table 8 OHB'!$A37,'OHB NEW'!AX:AX)</f>
        <v>0</v>
      </c>
      <c r="AF37" s="123">
        <f>SUMIF('OHB NEW'!$Y:$Y,'Price Table 8 OHB'!$A37,'OHB NEW'!AY:AY)</f>
        <v>0</v>
      </c>
      <c r="AG37" s="123">
        <f>SUMIF('OHB NEW'!$Y:$Y,'Price Table 8 OHB'!$A37,'OHB NEW'!AZ:AZ)</f>
        <v>0</v>
      </c>
      <c r="AH37" s="115">
        <f t="shared" si="0"/>
        <v>0</v>
      </c>
      <c r="AI37" s="390"/>
      <c r="AJ37" s="115"/>
    </row>
    <row r="38" spans="1:37" s="16" customFormat="1">
      <c r="B38" s="45"/>
      <c r="C38" s="55"/>
      <c r="D38" s="56" t="s">
        <v>562</v>
      </c>
      <c r="E38" s="57"/>
      <c r="F38" s="57"/>
      <c r="G38" s="57"/>
      <c r="H38" s="17"/>
    </row>
    <row r="39" spans="1:37">
      <c r="B39" s="48" t="s">
        <v>589</v>
      </c>
      <c r="C39" s="49"/>
      <c r="D39" s="50"/>
      <c r="H39"/>
      <c r="AI39"/>
    </row>
    <row r="40" spans="1:37">
      <c r="A40" t="s">
        <v>204</v>
      </c>
      <c r="B40" s="393" t="s">
        <v>590</v>
      </c>
      <c r="C40" s="400"/>
      <c r="D40" s="395"/>
      <c r="E40" s="36" t="s">
        <v>14</v>
      </c>
      <c r="F40" s="36" t="s">
        <v>13</v>
      </c>
      <c r="G40" s="36" t="str">
        <f>CONCATENATE(E40,F40)</f>
        <v>MISSIONManpower</v>
      </c>
      <c r="H40" s="61">
        <v>450000</v>
      </c>
      <c r="I40" s="533"/>
      <c r="J40" s="123">
        <f>SUMIF('OHB NEW'!$Y:$Y,'Price Table 8 OHB'!$A40,'OHB NEW'!AC:AC)</f>
        <v>0</v>
      </c>
      <c r="K40" s="123">
        <f>SUMIF('OHB NEW'!$Y:$Y,'Price Table 8 OHB'!$A40,'OHB NEW'!AD:AD)</f>
        <v>39.861285774170199</v>
      </c>
      <c r="L40" s="123">
        <f>SUMIF('OHB NEW'!$Y:$Y,'Price Table 8 OHB'!$A40,'OHB NEW'!AE:AE)</f>
        <v>120.58038946686483</v>
      </c>
      <c r="M40" s="123">
        <f>SUMIF('OHB NEW'!$Y:$Y,'Price Table 8 OHB'!$A40,'OHB NEW'!AF:AF)</f>
        <v>299.25860294958272</v>
      </c>
      <c r="N40" s="123">
        <f>SUMIF('OHB NEW'!$Y:$Y,'Price Table 8 OHB'!$A40,'OHB NEW'!AG:AG)</f>
        <v>345.2160740825426</v>
      </c>
      <c r="O40" s="123">
        <f>SUMIF('OHB NEW'!$Y:$Y,'Price Table 8 OHB'!$A40,'OHB NEW'!AH:AH)</f>
        <v>318.3097061849777</v>
      </c>
      <c r="P40" s="123">
        <f>SUMIF('OHB NEW'!$Y:$Y,'Price Table 8 OHB'!$A40,'OHB NEW'!AI:AI)</f>
        <v>321.5982622613468</v>
      </c>
      <c r="Q40" s="123">
        <f>SUMIF('OHB NEW'!$Y:$Y,'Price Table 8 OHB'!$A40,'OHB NEW'!AJ:AJ)</f>
        <v>327.87641477077858</v>
      </c>
      <c r="R40" s="123">
        <f>SUMIF('OHB NEW'!$Y:$Y,'Price Table 8 OHB'!$A40,'OHB NEW'!AK:AK)</f>
        <v>303.95964330627646</v>
      </c>
      <c r="S40" s="123">
        <f>SUMIF('OHB NEW'!$Y:$Y,'Price Table 8 OHB'!$A40,'OHB NEW'!AL:AL)</f>
        <v>273.06714683129456</v>
      </c>
      <c r="T40" s="123">
        <f>SUMIF('OHB NEW'!$Y:$Y,'Price Table 8 OHB'!$A40,'OHB NEW'!AM:AM)</f>
        <v>211.06550817423116</v>
      </c>
      <c r="U40" s="123">
        <f>SUMIF('OHB NEW'!$Y:$Y,'Price Table 8 OHB'!$A40,'OHB NEW'!AN:AN)</f>
        <v>119.78316375138144</v>
      </c>
      <c r="V40" s="123">
        <f>SUMIF('OHB NEW'!$Y:$Y,'Price Table 8 OHB'!$A40,'OHB NEW'!AO:AO)</f>
        <v>34.778971837963496</v>
      </c>
      <c r="W40" s="123">
        <f>SUMIF('OHB NEW'!$Y:$Y,'Price Table 8 OHB'!$A40,'OHB NEW'!AP:AP)</f>
        <v>35.875157196753172</v>
      </c>
      <c r="X40" s="123">
        <f>SUMIF('OHB NEW'!$Y:$Y,'Price Table 8 OHB'!$A40,'OHB NEW'!AQ:AQ)</f>
        <v>35.875157196753172</v>
      </c>
      <c r="Y40" s="123">
        <f>SUMIF('OHB NEW'!$Y:$Y,'Price Table 8 OHB'!$A40,'OHB NEW'!AR:AR)</f>
        <v>35.875157196753172</v>
      </c>
      <c r="Z40" s="123">
        <f>SUMIF('OHB NEW'!$Y:$Y,'Price Table 8 OHB'!$A40,'OHB NEW'!AS:AS)</f>
        <v>35.875157196753172</v>
      </c>
      <c r="AA40" s="123">
        <f>SUMIF('OHB NEW'!$Y:$Y,'Price Table 8 OHB'!$A40,'OHB NEW'!AT:AT)</f>
        <v>35.875157196753172</v>
      </c>
      <c r="AB40" s="123">
        <f>SUMIF('OHB NEW'!$Y:$Y,'Price Table 8 OHB'!$A40,'OHB NEW'!AU:AU)</f>
        <v>35.875157196753172</v>
      </c>
      <c r="AC40" s="123">
        <f>SUMIF('OHB NEW'!$Y:$Y,'Price Table 8 OHB'!$A40,'OHB NEW'!AV:AV)</f>
        <v>0</v>
      </c>
      <c r="AD40" s="123">
        <f>SUMIF('OHB NEW'!$Y:$Y,'Price Table 8 OHB'!$A40,'OHB NEW'!AW:AW)</f>
        <v>0</v>
      </c>
      <c r="AE40" s="123">
        <f>SUMIF('OHB NEW'!$Y:$Y,'Price Table 8 OHB'!$A40,'OHB NEW'!AX:AX)</f>
        <v>0</v>
      </c>
      <c r="AF40" s="123">
        <f>SUMIF('OHB NEW'!$Y:$Y,'Price Table 8 OHB'!$A40,'OHB NEW'!AY:AY)</f>
        <v>0</v>
      </c>
      <c r="AG40" s="123">
        <f>SUMIF('OHB NEW'!$Y:$Y,'Price Table 8 OHB'!$A40,'OHB NEW'!AZ:AZ)</f>
        <v>0</v>
      </c>
      <c r="AH40" s="403">
        <f t="shared" si="0"/>
        <v>2930.6061125719298</v>
      </c>
      <c r="AI40" s="403">
        <f>SUMIF('OHB OLD'!$C:$C,'Price Table 8 OHB'!$A40,'OHB OLD'!AE:AE)</f>
        <v>2930.6061125719293</v>
      </c>
      <c r="AJ40" s="403"/>
      <c r="AK40" t="s">
        <v>918</v>
      </c>
    </row>
    <row r="41" spans="1:37">
      <c r="A41" t="s">
        <v>592</v>
      </c>
      <c r="B41" s="393" t="s">
        <v>593</v>
      </c>
      <c r="C41" s="400"/>
      <c r="D41" s="395"/>
      <c r="E41" s="36" t="s">
        <v>14</v>
      </c>
      <c r="F41" s="36" t="s">
        <v>117</v>
      </c>
      <c r="G41" s="36" t="str">
        <f>CONCATENATE(E41,F41)</f>
        <v>MISSIONProcurement</v>
      </c>
      <c r="H41"/>
      <c r="J41" s="123">
        <f>SUMIF('OHB NEW'!$Y:$Y,'Price Table 8 OHB'!$A41,'OHB NEW'!AC:AC)</f>
        <v>0</v>
      </c>
      <c r="K41" s="123">
        <f>SUMIF('OHB NEW'!$Y:$Y,'Price Table 8 OHB'!$A41,'OHB NEW'!AD:AD)</f>
        <v>0</v>
      </c>
      <c r="L41" s="123">
        <f>SUMIF('OHB NEW'!$Y:$Y,'Price Table 8 OHB'!$A41,'OHB NEW'!AE:AE)</f>
        <v>0</v>
      </c>
      <c r="M41" s="123">
        <f>SUMIF('OHB NEW'!$Y:$Y,'Price Table 8 OHB'!$A41,'OHB NEW'!AF:AF)</f>
        <v>0</v>
      </c>
      <c r="N41" s="123">
        <f>SUMIF('OHB NEW'!$Y:$Y,'Price Table 8 OHB'!$A41,'OHB NEW'!AG:AG)</f>
        <v>145.0625</v>
      </c>
      <c r="O41" s="123">
        <f>SUMIF('OHB NEW'!$Y:$Y,'Price Table 8 OHB'!$A41,'OHB NEW'!AH:AH)</f>
        <v>145.0625</v>
      </c>
      <c r="P41" s="123">
        <f>SUMIF('OHB NEW'!$Y:$Y,'Price Table 8 OHB'!$A41,'OHB NEW'!AI:AI)</f>
        <v>511.375</v>
      </c>
      <c r="Q41" s="123">
        <f>SUMIF('OHB NEW'!$Y:$Y,'Price Table 8 OHB'!$A41,'OHB NEW'!AJ:AJ)</f>
        <v>511.375</v>
      </c>
      <c r="R41" s="123">
        <f>SUMIF('OHB NEW'!$Y:$Y,'Price Table 8 OHB'!$A41,'OHB NEW'!AK:AK)</f>
        <v>495.8125</v>
      </c>
      <c r="S41" s="123">
        <f>SUMIF('OHB NEW'!$Y:$Y,'Price Table 8 OHB'!$A41,'OHB NEW'!AL:AL)</f>
        <v>495.8125</v>
      </c>
      <c r="T41" s="123">
        <f>SUMIF('OHB NEW'!$Y:$Y,'Price Table 8 OHB'!$A41,'OHB NEW'!AM:AM)</f>
        <v>0</v>
      </c>
      <c r="U41" s="123">
        <f>SUMIF('OHB NEW'!$Y:$Y,'Price Table 8 OHB'!$A41,'OHB NEW'!AN:AN)</f>
        <v>0</v>
      </c>
      <c r="V41" s="123">
        <f>SUMIF('OHB NEW'!$Y:$Y,'Price Table 8 OHB'!$A41,'OHB NEW'!AO:AO)</f>
        <v>0</v>
      </c>
      <c r="W41" s="123">
        <f>SUMIF('OHB NEW'!$Y:$Y,'Price Table 8 OHB'!$A41,'OHB NEW'!AP:AP)</f>
        <v>0</v>
      </c>
      <c r="X41" s="123">
        <f>SUMIF('OHB NEW'!$Y:$Y,'Price Table 8 OHB'!$A41,'OHB NEW'!AQ:AQ)</f>
        <v>0</v>
      </c>
      <c r="Y41" s="123">
        <f>SUMIF('OHB NEW'!$Y:$Y,'Price Table 8 OHB'!$A41,'OHB NEW'!AR:AR)</f>
        <v>0</v>
      </c>
      <c r="Z41" s="123">
        <f>SUMIF('OHB NEW'!$Y:$Y,'Price Table 8 OHB'!$A41,'OHB NEW'!AS:AS)</f>
        <v>0</v>
      </c>
      <c r="AA41" s="123">
        <f>SUMIF('OHB NEW'!$Y:$Y,'Price Table 8 OHB'!$A41,'OHB NEW'!AT:AT)</f>
        <v>0</v>
      </c>
      <c r="AB41" s="123">
        <f>SUMIF('OHB NEW'!$Y:$Y,'Price Table 8 OHB'!$A41,'OHB NEW'!AU:AU)</f>
        <v>0</v>
      </c>
      <c r="AC41" s="123">
        <f>SUMIF('OHB NEW'!$Y:$Y,'Price Table 8 OHB'!$A41,'OHB NEW'!AV:AV)</f>
        <v>0</v>
      </c>
      <c r="AD41" s="123">
        <f>SUMIF('OHB NEW'!$Y:$Y,'Price Table 8 OHB'!$A41,'OHB NEW'!AW:AW)</f>
        <v>0</v>
      </c>
      <c r="AE41" s="123">
        <f>SUMIF('OHB NEW'!$Y:$Y,'Price Table 8 OHB'!$A41,'OHB NEW'!AX:AX)</f>
        <v>0</v>
      </c>
      <c r="AF41" s="123">
        <f>SUMIF('OHB NEW'!$Y:$Y,'Price Table 8 OHB'!$A41,'OHB NEW'!AY:AY)</f>
        <v>0</v>
      </c>
      <c r="AG41" s="123">
        <f>SUMIF('OHB NEW'!$Y:$Y,'Price Table 8 OHB'!$A41,'OHB NEW'!AZ:AZ)</f>
        <v>0</v>
      </c>
      <c r="AH41" s="403">
        <f t="shared" si="0"/>
        <v>2304.5</v>
      </c>
      <c r="AI41" s="403">
        <f>SUMIF('OHB OLD'!$C:$C,'Price Table 8 OHB'!$A41,'OHB OLD'!AE:AE)</f>
        <v>2304.5</v>
      </c>
      <c r="AJ41" s="403"/>
      <c r="AK41" t="s">
        <v>919</v>
      </c>
    </row>
    <row r="42" spans="1:37" s="16" customFormat="1">
      <c r="B42" s="45"/>
      <c r="C42" s="55"/>
      <c r="D42" s="56" t="s">
        <v>562</v>
      </c>
      <c r="E42" s="57"/>
      <c r="F42" s="57"/>
      <c r="G42" s="57"/>
      <c r="H42" s="17"/>
    </row>
    <row r="43" spans="1:37">
      <c r="B43" s="48" t="s">
        <v>157</v>
      </c>
      <c r="C43" s="52"/>
      <c r="D43" s="50"/>
      <c r="H43"/>
      <c r="AI43"/>
    </row>
    <row r="44" spans="1:37">
      <c r="A44" t="s">
        <v>275</v>
      </c>
      <c r="B44" s="393" t="s">
        <v>594</v>
      </c>
      <c r="C44" s="400"/>
      <c r="D44" s="395"/>
      <c r="E44" s="36" t="s">
        <v>14</v>
      </c>
      <c r="F44" s="36" t="s">
        <v>13</v>
      </c>
      <c r="G44" s="36" t="str">
        <f>CONCATENATE(E44,F44)</f>
        <v>MISSIONManpower</v>
      </c>
      <c r="H44" s="61">
        <v>470000</v>
      </c>
      <c r="I44" s="533" t="s">
        <v>595</v>
      </c>
      <c r="J44" s="123">
        <f>SUMIF('OHB NEW'!$Y:$Y,'Price Table 8 OHB'!$A44,'OHB NEW'!AC:AC)</f>
        <v>0</v>
      </c>
      <c r="K44" s="123">
        <f>SUMIF('OHB NEW'!$Y:$Y,'Price Table 8 OHB'!$A44,'OHB NEW'!AD:AD)</f>
        <v>0</v>
      </c>
      <c r="L44" s="123">
        <f>SUMIF('OHB NEW'!$Y:$Y,'Price Table 8 OHB'!$A44,'OHB NEW'!AE:AE)</f>
        <v>23.916771464502116</v>
      </c>
      <c r="M44" s="123">
        <f>SUMIF('OHB NEW'!$Y:$Y,'Price Table 8 OHB'!$A44,'OHB NEW'!AF:AF)</f>
        <v>29.895964330627645</v>
      </c>
      <c r="N44" s="123">
        <f>SUMIF('OHB NEW'!$Y:$Y,'Price Table 8 OHB'!$A44,'OHB NEW'!AG:AG)</f>
        <v>38.864753629815937</v>
      </c>
      <c r="O44" s="123">
        <f>SUMIF('OHB NEW'!$Y:$Y,'Price Table 8 OHB'!$A44,'OHB NEW'!AH:AH)</f>
        <v>129.54917876605313</v>
      </c>
      <c r="P44" s="123">
        <f>SUMIF('OHB NEW'!$Y:$Y,'Price Table 8 OHB'!$A44,'OHB NEW'!AI:AI)</f>
        <v>114.60119660073931</v>
      </c>
      <c r="Q44" s="123">
        <f>SUMIF('OHB NEW'!$Y:$Y,'Price Table 8 OHB'!$A44,'OHB NEW'!AJ:AJ)</f>
        <v>162.47635379749249</v>
      </c>
      <c r="R44" s="123">
        <f>SUMIF('OHB NEW'!$Y:$Y,'Price Table 8 OHB'!$A44,'OHB NEW'!AK:AK)</f>
        <v>80.760717960443586</v>
      </c>
      <c r="S44" s="123">
        <f>SUMIF('OHB NEW'!$Y:$Y,'Price Table 8 OHB'!$A44,'OHB NEW'!AL:AL)</f>
        <v>131.58385732251057</v>
      </c>
      <c r="T44" s="123">
        <f>SUMIF('OHB NEW'!$Y:$Y,'Price Table 8 OHB'!$A44,'OHB NEW'!AM:AM)</f>
        <v>114.64281086848825</v>
      </c>
      <c r="U44" s="123">
        <f>SUMIF('OHB NEW'!$Y:$Y,'Price Table 8 OHB'!$A44,'OHB NEW'!AN:AN)</f>
        <v>8.9826607217712748</v>
      </c>
      <c r="V44" s="123">
        <f>SUMIF('OHB NEW'!$Y:$Y,'Price Table 8 OHB'!$A44,'OHB NEW'!AO:AO)</f>
        <v>41.854350062878702</v>
      </c>
      <c r="W44" s="123">
        <f>SUMIF('OHB NEW'!$Y:$Y,'Price Table 8 OHB'!$A44,'OHB NEW'!AP:AP)</f>
        <v>124.36721161541101</v>
      </c>
      <c r="X44" s="123">
        <f>SUMIF('OHB NEW'!$Y:$Y,'Price Table 8 OHB'!$A44,'OHB NEW'!AQ:AQ)</f>
        <v>17.937578598376586</v>
      </c>
      <c r="Y44" s="123">
        <f>SUMIF('OHB NEW'!$Y:$Y,'Price Table 8 OHB'!$A44,'OHB NEW'!AR:AR)</f>
        <v>0</v>
      </c>
      <c r="Z44" s="123">
        <f>SUMIF('OHB NEW'!$Y:$Y,'Price Table 8 OHB'!$A44,'OHB NEW'!AS:AS)</f>
        <v>0</v>
      </c>
      <c r="AA44" s="123">
        <f>SUMIF('OHB NEW'!$Y:$Y,'Price Table 8 OHB'!$A44,'OHB NEW'!AT:AT)</f>
        <v>0</v>
      </c>
      <c r="AB44" s="123">
        <f>SUMIF('OHB NEW'!$Y:$Y,'Price Table 8 OHB'!$A44,'OHB NEW'!AU:AU)</f>
        <v>0</v>
      </c>
      <c r="AC44" s="123">
        <f>SUMIF('OHB NEW'!$Y:$Y,'Price Table 8 OHB'!$A44,'OHB NEW'!AV:AV)</f>
        <v>0</v>
      </c>
      <c r="AD44" s="123">
        <f>SUMIF('OHB NEW'!$Y:$Y,'Price Table 8 OHB'!$A44,'OHB NEW'!AW:AW)</f>
        <v>0</v>
      </c>
      <c r="AE44" s="123">
        <f>SUMIF('OHB NEW'!$Y:$Y,'Price Table 8 OHB'!$A44,'OHB NEW'!AX:AX)</f>
        <v>0</v>
      </c>
      <c r="AF44" s="123">
        <f>SUMIF('OHB NEW'!$Y:$Y,'Price Table 8 OHB'!$A44,'OHB NEW'!AY:AY)</f>
        <v>0</v>
      </c>
      <c r="AG44" s="123">
        <f>SUMIF('OHB NEW'!$Y:$Y,'Price Table 8 OHB'!$A44,'OHB NEW'!AZ:AZ)</f>
        <v>0</v>
      </c>
      <c r="AH44" s="403">
        <f t="shared" si="0"/>
        <v>1019.4334057391106</v>
      </c>
      <c r="AI44" s="403">
        <f>SUMIF('OHB OLD'!$C:$C,'Price Table 8 OHB'!$A44,'OHB OLD'!AE:AE)</f>
        <v>1019.4334057391104</v>
      </c>
      <c r="AJ44" s="403"/>
      <c r="AK44" t="s">
        <v>918</v>
      </c>
    </row>
    <row r="45" spans="1:37">
      <c r="A45" t="s">
        <v>596</v>
      </c>
      <c r="B45" s="393" t="s">
        <v>597</v>
      </c>
      <c r="C45" s="400"/>
      <c r="D45" s="395"/>
      <c r="E45" s="37" t="s">
        <v>14</v>
      </c>
      <c r="F45" s="36" t="s">
        <v>117</v>
      </c>
      <c r="G45" s="36" t="str">
        <f>CONCATENATE(E45,F45)</f>
        <v>MISSIONProcurement</v>
      </c>
      <c r="H45" s="16">
        <v>470000</v>
      </c>
      <c r="I45" t="s">
        <v>595</v>
      </c>
      <c r="J45" s="123">
        <f>SUMIF('OHB NEW'!$Y:$Y,'Price Table 8 OHB'!$A45,'OHB NEW'!AC:AC)</f>
        <v>0</v>
      </c>
      <c r="K45" s="123">
        <f>SUMIF('OHB NEW'!$Y:$Y,'Price Table 8 OHB'!$A45,'OHB NEW'!AD:AD)</f>
        <v>0</v>
      </c>
      <c r="L45" s="123">
        <f>SUMIF('OHB NEW'!$Y:$Y,'Price Table 8 OHB'!$A45,'OHB NEW'!AE:AE)</f>
        <v>0</v>
      </c>
      <c r="M45" s="123">
        <f>SUMIF('OHB NEW'!$Y:$Y,'Price Table 8 OHB'!$A45,'OHB NEW'!AF:AF)</f>
        <v>0</v>
      </c>
      <c r="N45" s="123">
        <f>SUMIF('OHB NEW'!$Y:$Y,'Price Table 8 OHB'!$A45,'OHB NEW'!AG:AG)</f>
        <v>10</v>
      </c>
      <c r="O45" s="123">
        <f>SUMIF('OHB NEW'!$Y:$Y,'Price Table 8 OHB'!$A45,'OHB NEW'!AH:AH)</f>
        <v>105</v>
      </c>
      <c r="P45" s="123">
        <f>SUMIF('OHB NEW'!$Y:$Y,'Price Table 8 OHB'!$A45,'OHB NEW'!AI:AI)</f>
        <v>0</v>
      </c>
      <c r="Q45" s="123">
        <f>SUMIF('OHB NEW'!$Y:$Y,'Price Table 8 OHB'!$A45,'OHB NEW'!AJ:AJ)</f>
        <v>252.5</v>
      </c>
      <c r="R45" s="123">
        <f>SUMIF('OHB NEW'!$Y:$Y,'Price Table 8 OHB'!$A45,'OHB NEW'!AK:AK)</f>
        <v>536</v>
      </c>
      <c r="S45" s="123">
        <f>SUMIF('OHB NEW'!$Y:$Y,'Price Table 8 OHB'!$A45,'OHB NEW'!AL:AL)</f>
        <v>722.7</v>
      </c>
      <c r="T45" s="123">
        <f>SUMIF('OHB NEW'!$Y:$Y,'Price Table 8 OHB'!$A45,'OHB NEW'!AM:AM)</f>
        <v>720.8</v>
      </c>
      <c r="U45" s="123">
        <f>SUMIF('OHB NEW'!$Y:$Y,'Price Table 8 OHB'!$A45,'OHB NEW'!AN:AN)</f>
        <v>217.60000000000002</v>
      </c>
      <c r="V45" s="123">
        <f>SUMIF('OHB NEW'!$Y:$Y,'Price Table 8 OHB'!$A45,'OHB NEW'!AO:AO)</f>
        <v>10</v>
      </c>
      <c r="W45" s="123">
        <f>SUMIF('OHB NEW'!$Y:$Y,'Price Table 8 OHB'!$A45,'OHB NEW'!AP:AP)</f>
        <v>118</v>
      </c>
      <c r="X45" s="123">
        <f>SUMIF('OHB NEW'!$Y:$Y,'Price Table 8 OHB'!$A45,'OHB NEW'!AQ:AQ)</f>
        <v>0</v>
      </c>
      <c r="Y45" s="123">
        <f>SUMIF('OHB NEW'!$Y:$Y,'Price Table 8 OHB'!$A45,'OHB NEW'!AR:AR)</f>
        <v>0</v>
      </c>
      <c r="Z45" s="123">
        <f>SUMIF('OHB NEW'!$Y:$Y,'Price Table 8 OHB'!$A45,'OHB NEW'!AS:AS)</f>
        <v>0</v>
      </c>
      <c r="AA45" s="123">
        <f>SUMIF('OHB NEW'!$Y:$Y,'Price Table 8 OHB'!$A45,'OHB NEW'!AT:AT)</f>
        <v>0</v>
      </c>
      <c r="AB45" s="123">
        <f>SUMIF('OHB NEW'!$Y:$Y,'Price Table 8 OHB'!$A45,'OHB NEW'!AU:AU)</f>
        <v>0</v>
      </c>
      <c r="AC45" s="123">
        <f>SUMIF('OHB NEW'!$Y:$Y,'Price Table 8 OHB'!$A45,'OHB NEW'!AV:AV)</f>
        <v>0</v>
      </c>
      <c r="AD45" s="123">
        <f>SUMIF('OHB NEW'!$Y:$Y,'Price Table 8 OHB'!$A45,'OHB NEW'!AW:AW)</f>
        <v>0</v>
      </c>
      <c r="AE45" s="123">
        <f>SUMIF('OHB NEW'!$Y:$Y,'Price Table 8 OHB'!$A45,'OHB NEW'!AX:AX)</f>
        <v>0</v>
      </c>
      <c r="AF45" s="123">
        <f>SUMIF('OHB NEW'!$Y:$Y,'Price Table 8 OHB'!$A45,'OHB NEW'!AY:AY)</f>
        <v>0</v>
      </c>
      <c r="AG45" s="123">
        <f>SUMIF('OHB NEW'!$Y:$Y,'Price Table 8 OHB'!$A45,'OHB NEW'!AZ:AZ)</f>
        <v>0</v>
      </c>
      <c r="AH45" s="403">
        <f t="shared" si="0"/>
        <v>2692.6</v>
      </c>
      <c r="AI45" s="403">
        <f>SUMIF('OHB OLD'!$C:$C,'Price Table 8 OHB'!$A45,'OHB OLD'!AE:AE)</f>
        <v>2692.6</v>
      </c>
      <c r="AJ45" s="403"/>
      <c r="AK45" t="s">
        <v>919</v>
      </c>
    </row>
    <row r="46" spans="1:37" s="16" customFormat="1">
      <c r="B46" s="45"/>
      <c r="C46" s="55"/>
      <c r="D46" s="56" t="s">
        <v>562</v>
      </c>
      <c r="E46" s="57"/>
      <c r="F46" s="57"/>
      <c r="G46" s="57"/>
    </row>
    <row r="47" spans="1:37">
      <c r="B47" s="48" t="s">
        <v>598</v>
      </c>
      <c r="C47" s="52"/>
      <c r="D47" s="50"/>
      <c r="H47" s="17"/>
      <c r="AI47"/>
    </row>
    <row r="48" spans="1:37">
      <c r="A48" t="s">
        <v>321</v>
      </c>
      <c r="B48" s="51" t="s">
        <v>599</v>
      </c>
      <c r="C48" s="53"/>
      <c r="D48" s="44"/>
      <c r="E48" s="36" t="s">
        <v>139</v>
      </c>
      <c r="F48" s="36" t="s">
        <v>13</v>
      </c>
      <c r="G48" s="36" t="str">
        <f>CONCATENATE(E48,F48)</f>
        <v>TECHManpower</v>
      </c>
      <c r="H48" s="63" t="s">
        <v>600</v>
      </c>
      <c r="I48" s="65" t="s">
        <v>601</v>
      </c>
      <c r="J48" s="123">
        <f>SUMIF('OHB NEW'!$Y:$Y,'Price Table 8 OHB'!$A48,'OHB NEW'!AC:AC)</f>
        <v>0</v>
      </c>
      <c r="K48" s="123">
        <f>SUMIF('OHB NEW'!$Y:$Y,'Price Table 8 OHB'!$A48,'OHB NEW'!AD:AD)</f>
        <v>0</v>
      </c>
      <c r="L48" s="123">
        <f>SUMIF('OHB NEW'!$Y:$Y,'Price Table 8 OHB'!$A48,'OHB NEW'!AE:AE)</f>
        <v>0</v>
      </c>
      <c r="M48" s="123">
        <f>SUMIF('OHB NEW'!$Y:$Y,'Price Table 8 OHB'!$A48,'OHB NEW'!AF:AF)</f>
        <v>0</v>
      </c>
      <c r="N48" s="123">
        <f>SUMIF('OHB NEW'!$Y:$Y,'Price Table 8 OHB'!$A48,'OHB NEW'!AG:AG)</f>
        <v>0</v>
      </c>
      <c r="O48" s="123">
        <f>SUMIF('OHB NEW'!$Y:$Y,'Price Table 8 OHB'!$A48,'OHB NEW'!AH:AH)</f>
        <v>0</v>
      </c>
      <c r="P48" s="123">
        <f>SUMIF('OHB NEW'!$Y:$Y,'Price Table 8 OHB'!$A48,'OHB NEW'!AI:AI)</f>
        <v>52.816203650775506</v>
      </c>
      <c r="Q48" s="123">
        <f>SUMIF('OHB NEW'!$Y:$Y,'Price Table 8 OHB'!$A48,'OHB NEW'!AJ:AJ)</f>
        <v>52.816203650775506</v>
      </c>
      <c r="R48" s="123">
        <f>SUMIF('OHB NEW'!$Y:$Y,'Price Table 8 OHB'!$A48,'OHB NEW'!AK:AK)</f>
        <v>0</v>
      </c>
      <c r="S48" s="123">
        <f>SUMIF('OHB NEW'!$Y:$Y,'Price Table 8 OHB'!$A48,'OHB NEW'!AL:AL)</f>
        <v>0</v>
      </c>
      <c r="T48" s="123">
        <f>SUMIF('OHB NEW'!$Y:$Y,'Price Table 8 OHB'!$A48,'OHB NEW'!AM:AM)</f>
        <v>0</v>
      </c>
      <c r="U48" s="123">
        <f>SUMIF('OHB NEW'!$Y:$Y,'Price Table 8 OHB'!$A48,'OHB NEW'!AN:AN)</f>
        <v>0</v>
      </c>
      <c r="V48" s="123">
        <f>SUMIF('OHB NEW'!$Y:$Y,'Price Table 8 OHB'!$A48,'OHB NEW'!AO:AO)</f>
        <v>0</v>
      </c>
      <c r="W48" s="123">
        <f>SUMIF('OHB NEW'!$Y:$Y,'Price Table 8 OHB'!$A48,'OHB NEW'!AP:AP)</f>
        <v>0</v>
      </c>
      <c r="X48" s="123">
        <f>SUMIF('OHB NEW'!$Y:$Y,'Price Table 8 OHB'!$A48,'OHB NEW'!AQ:AQ)</f>
        <v>0</v>
      </c>
      <c r="Y48" s="123">
        <f>SUMIF('OHB NEW'!$Y:$Y,'Price Table 8 OHB'!$A48,'OHB NEW'!AR:AR)</f>
        <v>0</v>
      </c>
      <c r="Z48" s="123">
        <f>SUMIF('OHB NEW'!$Y:$Y,'Price Table 8 OHB'!$A48,'OHB NEW'!AS:AS)</f>
        <v>0</v>
      </c>
      <c r="AA48" s="123">
        <f>SUMIF('OHB NEW'!$Y:$Y,'Price Table 8 OHB'!$A48,'OHB NEW'!AT:AT)</f>
        <v>0</v>
      </c>
      <c r="AB48" s="123">
        <f>SUMIF('OHB NEW'!$Y:$Y,'Price Table 8 OHB'!$A48,'OHB NEW'!AU:AU)</f>
        <v>0</v>
      </c>
      <c r="AC48" s="123">
        <f>SUMIF('OHB NEW'!$Y:$Y,'Price Table 8 OHB'!$A48,'OHB NEW'!AV:AV)</f>
        <v>0</v>
      </c>
      <c r="AD48" s="123">
        <f>SUMIF('OHB NEW'!$Y:$Y,'Price Table 8 OHB'!$A48,'OHB NEW'!AW:AW)</f>
        <v>0</v>
      </c>
      <c r="AE48" s="123">
        <f>SUMIF('OHB NEW'!$Y:$Y,'Price Table 8 OHB'!$A48,'OHB NEW'!AX:AX)</f>
        <v>0</v>
      </c>
      <c r="AF48" s="123">
        <f>SUMIF('OHB NEW'!$Y:$Y,'Price Table 8 OHB'!$A48,'OHB NEW'!AY:AY)</f>
        <v>0</v>
      </c>
      <c r="AG48" s="123">
        <f>SUMIF('OHB NEW'!$Y:$Y,'Price Table 8 OHB'!$A48,'OHB NEW'!AZ:AZ)</f>
        <v>0</v>
      </c>
      <c r="AH48" s="115">
        <f t="shared" si="0"/>
        <v>105.63240730155101</v>
      </c>
      <c r="AI48" s="115">
        <f>SUMIF('OHB OLD'!$C:$C,'Price Table 8 OHB'!$A48,'OHB OLD'!AE:AE)</f>
        <v>105.63240730155101</v>
      </c>
      <c r="AJ48" s="115"/>
    </row>
    <row r="49" spans="1:36">
      <c r="A49" t="s">
        <v>602</v>
      </c>
      <c r="B49" s="51" t="s">
        <v>603</v>
      </c>
      <c r="C49" s="53"/>
      <c r="D49" s="44"/>
      <c r="E49" s="36" t="s">
        <v>139</v>
      </c>
      <c r="F49" s="36" t="s">
        <v>117</v>
      </c>
      <c r="G49" s="36" t="str">
        <f>CONCATENATE(E49,F49)</f>
        <v>TECHProcurement</v>
      </c>
      <c r="H49" s="63" t="s">
        <v>600</v>
      </c>
      <c r="I49" s="65" t="s">
        <v>601</v>
      </c>
      <c r="J49" s="123">
        <f>SUMIF('OHB NEW'!$Y:$Y,'Price Table 8 OHB'!$A49,'OHB NEW'!AC:AC)</f>
        <v>0</v>
      </c>
      <c r="K49" s="123">
        <f>SUMIF('OHB NEW'!$Y:$Y,'Price Table 8 OHB'!$A49,'OHB NEW'!AD:AD)</f>
        <v>0</v>
      </c>
      <c r="L49" s="123">
        <f>SUMIF('OHB NEW'!$Y:$Y,'Price Table 8 OHB'!$A49,'OHB NEW'!AE:AE)</f>
        <v>0</v>
      </c>
      <c r="M49" s="123">
        <f>SUMIF('OHB NEW'!$Y:$Y,'Price Table 8 OHB'!$A49,'OHB NEW'!AF:AF)</f>
        <v>0</v>
      </c>
      <c r="N49" s="123">
        <f>SUMIF('OHB NEW'!$Y:$Y,'Price Table 8 OHB'!$A49,'OHB NEW'!AG:AG)</f>
        <v>0</v>
      </c>
      <c r="O49" s="123">
        <f>SUMIF('OHB NEW'!$Y:$Y,'Price Table 8 OHB'!$A49,'OHB NEW'!AH:AH)</f>
        <v>0</v>
      </c>
      <c r="P49" s="123">
        <f>SUMIF('OHB NEW'!$Y:$Y,'Price Table 8 OHB'!$A49,'OHB NEW'!AI:AI)</f>
        <v>34.274999999999999</v>
      </c>
      <c r="Q49" s="123">
        <f>SUMIF('OHB NEW'!$Y:$Y,'Price Table 8 OHB'!$A49,'OHB NEW'!AJ:AJ)</f>
        <v>34.274999999999999</v>
      </c>
      <c r="R49" s="123">
        <f>SUMIF('OHB NEW'!$Y:$Y,'Price Table 8 OHB'!$A49,'OHB NEW'!AK:AK)</f>
        <v>0</v>
      </c>
      <c r="S49" s="123">
        <f>SUMIF('OHB NEW'!$Y:$Y,'Price Table 8 OHB'!$A49,'OHB NEW'!AL:AL)</f>
        <v>0</v>
      </c>
      <c r="T49" s="123">
        <f>SUMIF('OHB NEW'!$Y:$Y,'Price Table 8 OHB'!$A49,'OHB NEW'!AM:AM)</f>
        <v>0</v>
      </c>
      <c r="U49" s="123">
        <f>SUMIF('OHB NEW'!$Y:$Y,'Price Table 8 OHB'!$A49,'OHB NEW'!AN:AN)</f>
        <v>0</v>
      </c>
      <c r="V49" s="123">
        <f>SUMIF('OHB NEW'!$Y:$Y,'Price Table 8 OHB'!$A49,'OHB NEW'!AO:AO)</f>
        <v>0</v>
      </c>
      <c r="W49" s="123">
        <f>SUMIF('OHB NEW'!$Y:$Y,'Price Table 8 OHB'!$A49,'OHB NEW'!AP:AP)</f>
        <v>0</v>
      </c>
      <c r="X49" s="123">
        <f>SUMIF('OHB NEW'!$Y:$Y,'Price Table 8 OHB'!$A49,'OHB NEW'!AQ:AQ)</f>
        <v>0</v>
      </c>
      <c r="Y49" s="123">
        <f>SUMIF('OHB NEW'!$Y:$Y,'Price Table 8 OHB'!$A49,'OHB NEW'!AR:AR)</f>
        <v>0</v>
      </c>
      <c r="Z49" s="123">
        <f>SUMIF('OHB NEW'!$Y:$Y,'Price Table 8 OHB'!$A49,'OHB NEW'!AS:AS)</f>
        <v>0</v>
      </c>
      <c r="AA49" s="123">
        <f>SUMIF('OHB NEW'!$Y:$Y,'Price Table 8 OHB'!$A49,'OHB NEW'!AT:AT)</f>
        <v>0</v>
      </c>
      <c r="AB49" s="123">
        <f>SUMIF('OHB NEW'!$Y:$Y,'Price Table 8 OHB'!$A49,'OHB NEW'!AU:AU)</f>
        <v>0</v>
      </c>
      <c r="AC49" s="123">
        <f>SUMIF('OHB NEW'!$Y:$Y,'Price Table 8 OHB'!$A49,'OHB NEW'!AV:AV)</f>
        <v>0</v>
      </c>
      <c r="AD49" s="123">
        <f>SUMIF('OHB NEW'!$Y:$Y,'Price Table 8 OHB'!$A49,'OHB NEW'!AW:AW)</f>
        <v>0</v>
      </c>
      <c r="AE49" s="123">
        <f>SUMIF('OHB NEW'!$Y:$Y,'Price Table 8 OHB'!$A49,'OHB NEW'!AX:AX)</f>
        <v>0</v>
      </c>
      <c r="AF49" s="123">
        <f>SUMIF('OHB NEW'!$Y:$Y,'Price Table 8 OHB'!$A49,'OHB NEW'!AY:AY)</f>
        <v>0</v>
      </c>
      <c r="AG49" s="123">
        <f>SUMIF('OHB NEW'!$Y:$Y,'Price Table 8 OHB'!$A49,'OHB NEW'!AZ:AZ)</f>
        <v>0</v>
      </c>
      <c r="AH49" s="115">
        <f t="shared" si="0"/>
        <v>68.55</v>
      </c>
      <c r="AI49" s="115">
        <f>SUMIF('OHB OLD'!$C:$C,'Price Table 8 OHB'!$A49,'OHB OLD'!AE:AE)</f>
        <v>68.55</v>
      </c>
      <c r="AJ49" s="115"/>
    </row>
    <row r="50" spans="1:36" s="16" customFormat="1">
      <c r="B50" s="45"/>
      <c r="C50" s="55"/>
      <c r="D50" s="56" t="s">
        <v>562</v>
      </c>
      <c r="E50" s="57"/>
      <c r="F50" s="57"/>
      <c r="G50" s="57"/>
      <c r="H50" s="63"/>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390"/>
    </row>
    <row r="51" spans="1:36">
      <c r="B51" s="48" t="s">
        <v>604</v>
      </c>
      <c r="C51" s="52"/>
      <c r="D51" s="50"/>
      <c r="H51" s="17"/>
      <c r="AI51"/>
      <c r="AJ51" s="115"/>
    </row>
    <row r="52" spans="1:36">
      <c r="A52" t="s">
        <v>336</v>
      </c>
      <c r="B52" s="51" t="s">
        <v>605</v>
      </c>
      <c r="C52" s="53"/>
      <c r="D52" s="44"/>
      <c r="E52" s="36" t="s">
        <v>139</v>
      </c>
      <c r="F52" s="36" t="s">
        <v>13</v>
      </c>
      <c r="G52" s="36" t="str">
        <f>CONCATENATE(E52,F52)</f>
        <v>TECHManpower</v>
      </c>
      <c r="H52" s="63">
        <v>490600</v>
      </c>
      <c r="J52" s="123">
        <f>SUMIF('OHB NEW'!$Y:$Y,'Price Table 8 OHB'!$A52,'OHB NEW'!AC:AC)</f>
        <v>0</v>
      </c>
      <c r="K52" s="123">
        <f>SUMIF('OHB NEW'!$Y:$Y,'Price Table 8 OHB'!$A52,'OHB NEW'!AD:AD)</f>
        <v>0</v>
      </c>
      <c r="L52" s="123">
        <f>SUMIF('OHB NEW'!$Y:$Y,'Price Table 8 OHB'!$A52,'OHB NEW'!AE:AE)</f>
        <v>0</v>
      </c>
      <c r="M52" s="123">
        <f>SUMIF('OHB NEW'!$Y:$Y,'Price Table 8 OHB'!$A52,'OHB NEW'!AF:AF)</f>
        <v>0</v>
      </c>
      <c r="N52" s="123">
        <f>SUMIF('OHB NEW'!$Y:$Y,'Price Table 8 OHB'!$A52,'OHB NEW'!AG:AG)</f>
        <v>0</v>
      </c>
      <c r="O52" s="123">
        <f>SUMIF('OHB NEW'!$Y:$Y,'Price Table 8 OHB'!$A52,'OHB NEW'!AH:AH)</f>
        <v>0</v>
      </c>
      <c r="P52" s="123">
        <f>SUMIF('OHB NEW'!$Y:$Y,'Price Table 8 OHB'!$A52,'OHB NEW'!AI:AI)</f>
        <v>0</v>
      </c>
      <c r="Q52" s="123">
        <f>SUMIF('OHB NEW'!$Y:$Y,'Price Table 8 OHB'!$A52,'OHB NEW'!AJ:AJ)</f>
        <v>0</v>
      </c>
      <c r="R52" s="123">
        <f>SUMIF('OHB NEW'!$Y:$Y,'Price Table 8 OHB'!$A52,'OHB NEW'!AK:AK)</f>
        <v>0</v>
      </c>
      <c r="S52" s="123">
        <f>SUMIF('OHB NEW'!$Y:$Y,'Price Table 8 OHB'!$A52,'OHB NEW'!AL:AL)</f>
        <v>0</v>
      </c>
      <c r="T52" s="123">
        <f>SUMIF('OHB NEW'!$Y:$Y,'Price Table 8 OHB'!$A52,'OHB NEW'!AM:AM)</f>
        <v>0</v>
      </c>
      <c r="U52" s="123">
        <f>SUMIF('OHB NEW'!$Y:$Y,'Price Table 8 OHB'!$A52,'OHB NEW'!AN:AN)</f>
        <v>0</v>
      </c>
      <c r="V52" s="123">
        <f>SUMIF('OHB NEW'!$Y:$Y,'Price Table 8 OHB'!$A52,'OHB NEW'!AO:AO)</f>
        <v>0</v>
      </c>
      <c r="W52" s="123">
        <f>SUMIF('OHB NEW'!$Y:$Y,'Price Table 8 OHB'!$A52,'OHB NEW'!AP:AP)</f>
        <v>0</v>
      </c>
      <c r="X52" s="123">
        <f>SUMIF('OHB NEW'!$Y:$Y,'Price Table 8 OHB'!$A52,'OHB NEW'!AQ:AQ)</f>
        <v>0</v>
      </c>
      <c r="Y52" s="123">
        <f>SUMIF('OHB NEW'!$Y:$Y,'Price Table 8 OHB'!$A52,'OHB NEW'!AR:AR)</f>
        <v>0</v>
      </c>
      <c r="Z52" s="123">
        <f>SUMIF('OHB NEW'!$Y:$Y,'Price Table 8 OHB'!$A52,'OHB NEW'!AS:AS)</f>
        <v>0</v>
      </c>
      <c r="AA52" s="123">
        <f>SUMIF('OHB NEW'!$Y:$Y,'Price Table 8 OHB'!$A52,'OHB NEW'!AT:AT)</f>
        <v>0</v>
      </c>
      <c r="AB52" s="123">
        <f>SUMIF('OHB NEW'!$Y:$Y,'Price Table 8 OHB'!$A52,'OHB NEW'!AU:AU)</f>
        <v>0</v>
      </c>
      <c r="AC52" s="123">
        <f>SUMIF('OHB NEW'!$Y:$Y,'Price Table 8 OHB'!$A52,'OHB NEW'!AV:AV)</f>
        <v>0</v>
      </c>
      <c r="AD52" s="123">
        <f>SUMIF('OHB NEW'!$Y:$Y,'Price Table 8 OHB'!$A52,'OHB NEW'!AW:AW)</f>
        <v>0</v>
      </c>
      <c r="AE52" s="123">
        <f>SUMIF('OHB NEW'!$Y:$Y,'Price Table 8 OHB'!$A52,'OHB NEW'!AX:AX)</f>
        <v>0</v>
      </c>
      <c r="AF52" s="123">
        <f>SUMIF('OHB NEW'!$Y:$Y,'Price Table 8 OHB'!$A52,'OHB NEW'!AY:AY)</f>
        <v>0</v>
      </c>
      <c r="AG52" s="123">
        <f>SUMIF('OHB NEW'!$Y:$Y,'Price Table 8 OHB'!$A52,'OHB NEW'!AZ:AZ)</f>
        <v>0</v>
      </c>
      <c r="AH52" s="115">
        <f t="shared" si="0"/>
        <v>0</v>
      </c>
      <c r="AI52" s="115">
        <f>SUMIF('OHB OLD'!$C:$C,'Price Table 8 OHB'!$A52,'OHB OLD'!AE:AE)</f>
        <v>0</v>
      </c>
      <c r="AJ52" s="115"/>
    </row>
    <row r="53" spans="1:36">
      <c r="A53" t="s">
        <v>606</v>
      </c>
      <c r="B53" s="51" t="s">
        <v>607</v>
      </c>
      <c r="C53" s="53"/>
      <c r="D53" s="44"/>
      <c r="E53" s="36" t="s">
        <v>139</v>
      </c>
      <c r="F53" s="36" t="s">
        <v>117</v>
      </c>
      <c r="G53" s="36" t="str">
        <f>CONCATENATE(E53,F53)</f>
        <v>TECHProcurement</v>
      </c>
      <c r="H53" s="63">
        <v>490600</v>
      </c>
      <c r="J53" s="123">
        <f>SUMIF('OHB NEW'!$Y:$Y,'Price Table 8 OHB'!$A53,'OHB NEW'!AC:AC)</f>
        <v>0</v>
      </c>
      <c r="K53" s="123">
        <f>SUMIF('OHB NEW'!$Y:$Y,'Price Table 8 OHB'!$A53,'OHB NEW'!AD:AD)</f>
        <v>0</v>
      </c>
      <c r="L53" s="123">
        <f>SUMIF('OHB NEW'!$Y:$Y,'Price Table 8 OHB'!$A53,'OHB NEW'!AE:AE)</f>
        <v>0</v>
      </c>
      <c r="M53" s="123">
        <f>SUMIF('OHB NEW'!$Y:$Y,'Price Table 8 OHB'!$A53,'OHB NEW'!AF:AF)</f>
        <v>0</v>
      </c>
      <c r="N53" s="123">
        <f>SUMIF('OHB NEW'!$Y:$Y,'Price Table 8 OHB'!$A53,'OHB NEW'!AG:AG)</f>
        <v>0</v>
      </c>
      <c r="O53" s="123">
        <f>SUMIF('OHB NEW'!$Y:$Y,'Price Table 8 OHB'!$A53,'OHB NEW'!AH:AH)</f>
        <v>0</v>
      </c>
      <c r="P53" s="123">
        <f>SUMIF('OHB NEW'!$Y:$Y,'Price Table 8 OHB'!$A53,'OHB NEW'!AI:AI)</f>
        <v>0</v>
      </c>
      <c r="Q53" s="123">
        <f>SUMIF('OHB NEW'!$Y:$Y,'Price Table 8 OHB'!$A53,'OHB NEW'!AJ:AJ)</f>
        <v>0</v>
      </c>
      <c r="R53" s="123">
        <f>SUMIF('OHB NEW'!$Y:$Y,'Price Table 8 OHB'!$A53,'OHB NEW'!AK:AK)</f>
        <v>0</v>
      </c>
      <c r="S53" s="123">
        <f>SUMIF('OHB NEW'!$Y:$Y,'Price Table 8 OHB'!$A53,'OHB NEW'!AL:AL)</f>
        <v>0</v>
      </c>
      <c r="T53" s="123">
        <f>SUMIF('OHB NEW'!$Y:$Y,'Price Table 8 OHB'!$A53,'OHB NEW'!AM:AM)</f>
        <v>0</v>
      </c>
      <c r="U53" s="123">
        <f>SUMIF('OHB NEW'!$Y:$Y,'Price Table 8 OHB'!$A53,'OHB NEW'!AN:AN)</f>
        <v>0</v>
      </c>
      <c r="V53" s="123">
        <f>SUMIF('OHB NEW'!$Y:$Y,'Price Table 8 OHB'!$A53,'OHB NEW'!AO:AO)</f>
        <v>0</v>
      </c>
      <c r="W53" s="123">
        <f>SUMIF('OHB NEW'!$Y:$Y,'Price Table 8 OHB'!$A53,'OHB NEW'!AP:AP)</f>
        <v>0</v>
      </c>
      <c r="X53" s="123">
        <f>SUMIF('OHB NEW'!$Y:$Y,'Price Table 8 OHB'!$A53,'OHB NEW'!AQ:AQ)</f>
        <v>0</v>
      </c>
      <c r="Y53" s="123">
        <f>SUMIF('OHB NEW'!$Y:$Y,'Price Table 8 OHB'!$A53,'OHB NEW'!AR:AR)</f>
        <v>0</v>
      </c>
      <c r="Z53" s="123">
        <f>SUMIF('OHB NEW'!$Y:$Y,'Price Table 8 OHB'!$A53,'OHB NEW'!AS:AS)</f>
        <v>0</v>
      </c>
      <c r="AA53" s="123">
        <f>SUMIF('OHB NEW'!$Y:$Y,'Price Table 8 OHB'!$A53,'OHB NEW'!AT:AT)</f>
        <v>0</v>
      </c>
      <c r="AB53" s="123">
        <f>SUMIF('OHB NEW'!$Y:$Y,'Price Table 8 OHB'!$A53,'OHB NEW'!AU:AU)</f>
        <v>0</v>
      </c>
      <c r="AC53" s="123">
        <f>SUMIF('OHB NEW'!$Y:$Y,'Price Table 8 OHB'!$A53,'OHB NEW'!AV:AV)</f>
        <v>0</v>
      </c>
      <c r="AD53" s="123">
        <f>SUMIF('OHB NEW'!$Y:$Y,'Price Table 8 OHB'!$A53,'OHB NEW'!AW:AW)</f>
        <v>0</v>
      </c>
      <c r="AE53" s="123">
        <f>SUMIF('OHB NEW'!$Y:$Y,'Price Table 8 OHB'!$A53,'OHB NEW'!AX:AX)</f>
        <v>0</v>
      </c>
      <c r="AF53" s="123">
        <f>SUMIF('OHB NEW'!$Y:$Y,'Price Table 8 OHB'!$A53,'OHB NEW'!AY:AY)</f>
        <v>0</v>
      </c>
      <c r="AG53" s="123">
        <f>SUMIF('OHB NEW'!$Y:$Y,'Price Table 8 OHB'!$A53,'OHB NEW'!AZ:AZ)</f>
        <v>0</v>
      </c>
      <c r="AH53" s="115">
        <f t="shared" si="0"/>
        <v>0</v>
      </c>
      <c r="AI53" s="115">
        <f>SUMIF('OHB OLD'!$C:$C,'Price Table 8 OHB'!$A53,'OHB OLD'!AE:AE)</f>
        <v>0</v>
      </c>
      <c r="AJ53" s="115"/>
    </row>
    <row r="54" spans="1:36" s="16" customFormat="1">
      <c r="B54" s="45"/>
      <c r="C54" s="55"/>
      <c r="D54" s="56" t="s">
        <v>562</v>
      </c>
      <c r="E54" s="57"/>
      <c r="F54" s="57"/>
      <c r="G54" s="57"/>
      <c r="H54" s="63"/>
    </row>
    <row r="55" spans="1:36">
      <c r="B55" s="48" t="s">
        <v>642</v>
      </c>
      <c r="C55" s="52"/>
      <c r="D55" s="50"/>
      <c r="H55" s="17"/>
      <c r="AI55"/>
    </row>
    <row r="56" spans="1:36">
      <c r="A56" t="s">
        <v>331</v>
      </c>
      <c r="B56" s="51" t="s">
        <v>609</v>
      </c>
      <c r="C56" s="53"/>
      <c r="D56" s="44"/>
      <c r="E56" s="37" t="s">
        <v>14</v>
      </c>
      <c r="F56" s="36" t="s">
        <v>117</v>
      </c>
      <c r="G56" s="36" t="str">
        <f>CONCATENATE(E56,F56)</f>
        <v>MISSIONProcurement</v>
      </c>
      <c r="H56" s="16">
        <v>490540</v>
      </c>
      <c r="J56" s="123">
        <f>SUMIF('OHB NEW'!$Y:$Y,'Price Table 8 OHB'!$A56,'OHB NEW'!AC:AC)</f>
        <v>0</v>
      </c>
      <c r="K56" s="123">
        <f>SUMIF('OHB NEW'!$Y:$Y,'Price Table 8 OHB'!$A56,'OHB NEW'!AD:AD)</f>
        <v>0</v>
      </c>
      <c r="L56" s="123">
        <f>SUMIF('OHB NEW'!$Y:$Y,'Price Table 8 OHB'!$A56,'OHB NEW'!AE:AE)</f>
        <v>0</v>
      </c>
      <c r="M56" s="123">
        <f>SUMIF('OHB NEW'!$Y:$Y,'Price Table 8 OHB'!$A56,'OHB NEW'!AF:AF)</f>
        <v>0</v>
      </c>
      <c r="N56" s="123">
        <f>SUMIF('OHB NEW'!$Y:$Y,'Price Table 8 OHB'!$A56,'OHB NEW'!AG:AG)</f>
        <v>0</v>
      </c>
      <c r="O56" s="123">
        <f>SUMIF('OHB NEW'!$Y:$Y,'Price Table 8 OHB'!$A56,'OHB NEW'!AH:AH)</f>
        <v>0</v>
      </c>
      <c r="P56" s="123">
        <f>SUMIF('OHB NEW'!$Y:$Y,'Price Table 8 OHB'!$A56,'OHB NEW'!AI:AI)</f>
        <v>0</v>
      </c>
      <c r="Q56" s="123">
        <f>SUMIF('OHB NEW'!$Y:$Y,'Price Table 8 OHB'!$A56,'OHB NEW'!AJ:AJ)</f>
        <v>0</v>
      </c>
      <c r="R56" s="123">
        <f>SUMIF('OHB NEW'!$Y:$Y,'Price Table 8 OHB'!$A56,'OHB NEW'!AK:AK)</f>
        <v>0</v>
      </c>
      <c r="S56" s="123">
        <f>SUMIF('OHB NEW'!$Y:$Y,'Price Table 8 OHB'!$A56,'OHB NEW'!AL:AL)</f>
        <v>0</v>
      </c>
      <c r="T56" s="123">
        <f>SUMIF('OHB NEW'!$Y:$Y,'Price Table 8 OHB'!$A56,'OHB NEW'!AM:AM)</f>
        <v>0</v>
      </c>
      <c r="U56" s="123">
        <f>SUMIF('OHB NEW'!$Y:$Y,'Price Table 8 OHB'!$A56,'OHB NEW'!AN:AN)</f>
        <v>0</v>
      </c>
      <c r="V56" s="123">
        <f>SUMIF('OHB NEW'!$Y:$Y,'Price Table 8 OHB'!$A56,'OHB NEW'!AO:AO)</f>
        <v>0</v>
      </c>
      <c r="W56" s="123">
        <f>SUMIF('OHB NEW'!$Y:$Y,'Price Table 8 OHB'!$A56,'OHB NEW'!AP:AP)</f>
        <v>0</v>
      </c>
      <c r="X56" s="123">
        <f>SUMIF('OHB NEW'!$Y:$Y,'Price Table 8 OHB'!$A56,'OHB NEW'!AQ:AQ)</f>
        <v>0</v>
      </c>
      <c r="Y56" s="123">
        <f>SUMIF('OHB NEW'!$Y:$Y,'Price Table 8 OHB'!$A56,'OHB NEW'!AR:AR)</f>
        <v>0</v>
      </c>
      <c r="Z56" s="123">
        <f>SUMIF('OHB NEW'!$Y:$Y,'Price Table 8 OHB'!$A56,'OHB NEW'!AS:AS)</f>
        <v>0</v>
      </c>
      <c r="AA56" s="123">
        <f>SUMIF('OHB NEW'!$Y:$Y,'Price Table 8 OHB'!$A56,'OHB NEW'!AT:AT)</f>
        <v>0</v>
      </c>
      <c r="AB56" s="123">
        <f>SUMIF('OHB NEW'!$Y:$Y,'Price Table 8 OHB'!$A56,'OHB NEW'!AU:AU)</f>
        <v>0</v>
      </c>
      <c r="AC56" s="123">
        <f>SUMIF('OHB NEW'!$Y:$Y,'Price Table 8 OHB'!$A56,'OHB NEW'!AV:AV)</f>
        <v>0</v>
      </c>
      <c r="AD56" s="123">
        <f>SUMIF('OHB NEW'!$Y:$Y,'Price Table 8 OHB'!$A56,'OHB NEW'!AW:AW)</f>
        <v>0</v>
      </c>
      <c r="AE56" s="123">
        <f>SUMIF('OHB NEW'!$Y:$Y,'Price Table 8 OHB'!$A56,'OHB NEW'!AX:AX)</f>
        <v>0</v>
      </c>
      <c r="AF56" s="123">
        <f>SUMIF('OHB NEW'!$Y:$Y,'Price Table 8 OHB'!$A56,'OHB NEW'!AY:AY)</f>
        <v>0</v>
      </c>
      <c r="AG56" s="123">
        <f>SUMIF('OHB NEW'!$Y:$Y,'Price Table 8 OHB'!$A56,'OHB NEW'!AZ:AZ)</f>
        <v>0</v>
      </c>
      <c r="AH56" s="115">
        <f t="shared" si="0"/>
        <v>0</v>
      </c>
      <c r="AI56" s="115">
        <f>SUMIF('OHB OLD'!$C:$C,'Price Table 8 OHB'!$A56,'OHB OLD'!AE:AE)</f>
        <v>0</v>
      </c>
      <c r="AJ56" s="115"/>
    </row>
    <row r="57" spans="1:36" s="16" customFormat="1">
      <c r="B57" s="45"/>
      <c r="C57" s="55"/>
      <c r="D57" s="56" t="s">
        <v>562</v>
      </c>
      <c r="E57" s="57"/>
      <c r="F57" s="57"/>
      <c r="G57" s="57"/>
      <c r="H57" s="17"/>
    </row>
    <row r="58" spans="1:36">
      <c r="B58" s="46" t="s">
        <v>611</v>
      </c>
      <c r="C58" s="47"/>
      <c r="D58" s="41"/>
      <c r="H58"/>
      <c r="AI58"/>
    </row>
    <row r="59" spans="1:36">
      <c r="B59" s="48" t="s">
        <v>612</v>
      </c>
      <c r="C59" s="49"/>
      <c r="D59" s="50"/>
      <c r="H59"/>
      <c r="AI59"/>
    </row>
    <row r="60" spans="1:36">
      <c r="A60" t="s">
        <v>230</v>
      </c>
      <c r="B60" s="51" t="s">
        <v>613</v>
      </c>
      <c r="C60" s="54"/>
      <c r="D60" s="44"/>
      <c r="E60" s="36" t="s">
        <v>139</v>
      </c>
      <c r="F60" s="36" t="s">
        <v>13</v>
      </c>
      <c r="G60" s="36" t="str">
        <f>CONCATENATE(E60,F60)</f>
        <v>TECHManpower</v>
      </c>
      <c r="H60" t="s">
        <v>920</v>
      </c>
      <c r="J60" s="123">
        <f>SUMIF('OHB NEW'!$Y:$Y,'Price Table 8 OHB'!$A60,'OHB NEW'!AC:AC)</f>
        <v>0</v>
      </c>
      <c r="K60" s="123">
        <f>SUMIF('OHB NEW'!$Y:$Y,'Price Table 8 OHB'!$A60,'OHB NEW'!AD:AD)</f>
        <v>0</v>
      </c>
      <c r="L60" s="123">
        <f>SUMIF('OHB NEW'!$Y:$Y,'Price Table 8 OHB'!$A60,'OHB NEW'!AE:AE)</f>
        <v>0</v>
      </c>
      <c r="M60" s="123">
        <f>SUMIF('OHB NEW'!$Y:$Y,'Price Table 8 OHB'!$A60,'OHB NEW'!AF:AF)</f>
        <v>0</v>
      </c>
      <c r="N60" s="123">
        <f>SUMIF('OHB NEW'!$Y:$Y,'Price Table 8 OHB'!$A60,'OHB NEW'!AG:AG)</f>
        <v>0</v>
      </c>
      <c r="O60" s="123">
        <f>SUMIF('OHB NEW'!$Y:$Y,'Price Table 8 OHB'!$A60,'OHB NEW'!AH:AH)</f>
        <v>0</v>
      </c>
      <c r="P60" s="123">
        <f>SUMIF('OHB NEW'!$Y:$Y,'Price Table 8 OHB'!$A60,'OHB NEW'!AI:AI)</f>
        <v>0</v>
      </c>
      <c r="Q60" s="123">
        <f>SUMIF('OHB NEW'!$Y:$Y,'Price Table 8 OHB'!$A60,'OHB NEW'!AJ:AJ)</f>
        <v>0</v>
      </c>
      <c r="R60" s="123">
        <f>SUMIF('OHB NEW'!$Y:$Y,'Price Table 8 OHB'!$A60,'OHB NEW'!AK:AK)</f>
        <v>0</v>
      </c>
      <c r="S60" s="123">
        <f>SUMIF('OHB NEW'!$Y:$Y,'Price Table 8 OHB'!$A60,'OHB NEW'!AL:AL)</f>
        <v>0</v>
      </c>
      <c r="T60" s="123">
        <f>SUMIF('OHB NEW'!$Y:$Y,'Price Table 8 OHB'!$A60,'OHB NEW'!AM:AM)</f>
        <v>0</v>
      </c>
      <c r="U60" s="123">
        <f>SUMIF('OHB NEW'!$Y:$Y,'Price Table 8 OHB'!$A60,'OHB NEW'!AN:AN)</f>
        <v>0</v>
      </c>
      <c r="V60" s="123">
        <f>SUMIF('OHB NEW'!$Y:$Y,'Price Table 8 OHB'!$A60,'OHB NEW'!AO:AO)</f>
        <v>0</v>
      </c>
      <c r="W60" s="123">
        <f>SUMIF('OHB NEW'!$Y:$Y,'Price Table 8 OHB'!$A60,'OHB NEW'!AP:AP)</f>
        <v>0</v>
      </c>
      <c r="X60" s="123">
        <f>SUMIF('OHB NEW'!$Y:$Y,'Price Table 8 OHB'!$A60,'OHB NEW'!AQ:AQ)</f>
        <v>0</v>
      </c>
      <c r="Y60" s="123">
        <f>SUMIF('OHB NEW'!$Y:$Y,'Price Table 8 OHB'!$A60,'OHB NEW'!AR:AR)</f>
        <v>0</v>
      </c>
      <c r="Z60" s="123">
        <f>SUMIF('OHB NEW'!$Y:$Y,'Price Table 8 OHB'!$A60,'OHB NEW'!AS:AS)</f>
        <v>0</v>
      </c>
      <c r="AA60" s="123">
        <f>SUMIF('OHB NEW'!$Y:$Y,'Price Table 8 OHB'!$A60,'OHB NEW'!AT:AT)</f>
        <v>0</v>
      </c>
      <c r="AB60" s="123">
        <f>SUMIF('OHB NEW'!$Y:$Y,'Price Table 8 OHB'!$A60,'OHB NEW'!AU:AU)</f>
        <v>0</v>
      </c>
      <c r="AC60" s="123">
        <f>SUMIF('OHB NEW'!$Y:$Y,'Price Table 8 OHB'!$A60,'OHB NEW'!AV:AV)</f>
        <v>0</v>
      </c>
      <c r="AD60" s="123">
        <f>SUMIF('OHB NEW'!$Y:$Y,'Price Table 8 OHB'!$A60,'OHB NEW'!AW:AW)</f>
        <v>0</v>
      </c>
      <c r="AE60" s="123">
        <f>SUMIF('OHB NEW'!$Y:$Y,'Price Table 8 OHB'!$A60,'OHB NEW'!AX:AX)</f>
        <v>0</v>
      </c>
      <c r="AF60" s="123">
        <f>SUMIF('OHB NEW'!$Y:$Y,'Price Table 8 OHB'!$A60,'OHB NEW'!AY:AY)</f>
        <v>0</v>
      </c>
      <c r="AG60" s="123">
        <f>SUMIF('OHB NEW'!$Y:$Y,'Price Table 8 OHB'!$A60,'OHB NEW'!AZ:AZ)</f>
        <v>0</v>
      </c>
      <c r="AH60" s="115">
        <f t="shared" si="0"/>
        <v>0</v>
      </c>
      <c r="AI60" s="115">
        <f>SUMIF('OHB OLD'!$C:$C,'Price Table 8 OHB'!$A60,'OHB OLD'!AE:AE)</f>
        <v>0</v>
      </c>
      <c r="AJ60" s="115"/>
    </row>
    <row r="61" spans="1:36">
      <c r="A61" t="s">
        <v>138</v>
      </c>
      <c r="B61" s="51" t="s">
        <v>615</v>
      </c>
      <c r="C61" s="54"/>
      <c r="D61" s="44"/>
      <c r="E61" s="36" t="s">
        <v>139</v>
      </c>
      <c r="F61" s="36" t="s">
        <v>117</v>
      </c>
      <c r="G61" s="36" t="str">
        <f>CONCATENATE(E61,F61)</f>
        <v>TECHProcurement</v>
      </c>
      <c r="H61" t="s">
        <v>616</v>
      </c>
      <c r="I61" s="65" t="s">
        <v>610</v>
      </c>
      <c r="J61" s="123">
        <f>SUMIF('OHB NEW'!$Y:$Y,'Price Table 8 OHB'!$A61,'OHB NEW'!AC:AC)</f>
        <v>0</v>
      </c>
      <c r="K61" s="123">
        <f>SUMIF('OHB NEW'!$Y:$Y,'Price Table 8 OHB'!$A61,'OHB NEW'!AD:AD)</f>
        <v>0</v>
      </c>
      <c r="L61" s="123">
        <f>SUMIF('OHB NEW'!$Y:$Y,'Price Table 8 OHB'!$A61,'OHB NEW'!AE:AE)</f>
        <v>0</v>
      </c>
      <c r="M61" s="123">
        <f>SUMIF('OHB NEW'!$Y:$Y,'Price Table 8 OHB'!$A61,'OHB NEW'!AF:AF)</f>
        <v>0</v>
      </c>
      <c r="N61" s="123">
        <f>SUMIF('OHB NEW'!$Y:$Y,'Price Table 8 OHB'!$A61,'OHB NEW'!AG:AG)</f>
        <v>0</v>
      </c>
      <c r="O61" s="123">
        <f>SUMIF('OHB NEW'!$Y:$Y,'Price Table 8 OHB'!$A61,'OHB NEW'!AH:AH)</f>
        <v>0</v>
      </c>
      <c r="P61" s="123">
        <f>SUMIF('OHB NEW'!$Y:$Y,'Price Table 8 OHB'!$A61,'OHB NEW'!AI:AI)</f>
        <v>0</v>
      </c>
      <c r="Q61" s="123">
        <f>SUMIF('OHB NEW'!$Y:$Y,'Price Table 8 OHB'!$A61,'OHB NEW'!AJ:AJ)</f>
        <v>0</v>
      </c>
      <c r="R61" s="123">
        <f>SUMIF('OHB NEW'!$Y:$Y,'Price Table 8 OHB'!$A61,'OHB NEW'!AK:AK)</f>
        <v>0</v>
      </c>
      <c r="S61" s="123">
        <f>SUMIF('OHB NEW'!$Y:$Y,'Price Table 8 OHB'!$A61,'OHB NEW'!AL:AL)</f>
        <v>0</v>
      </c>
      <c r="T61" s="123">
        <f>SUMIF('OHB NEW'!$Y:$Y,'Price Table 8 OHB'!$A61,'OHB NEW'!AM:AM)</f>
        <v>0</v>
      </c>
      <c r="U61" s="123">
        <f>SUMIF('OHB NEW'!$Y:$Y,'Price Table 8 OHB'!$A61,'OHB NEW'!AN:AN)</f>
        <v>0</v>
      </c>
      <c r="V61" s="123">
        <f>SUMIF('OHB NEW'!$Y:$Y,'Price Table 8 OHB'!$A61,'OHB NEW'!AO:AO)</f>
        <v>0</v>
      </c>
      <c r="W61" s="123">
        <f>SUMIF('OHB NEW'!$Y:$Y,'Price Table 8 OHB'!$A61,'OHB NEW'!AP:AP)</f>
        <v>0</v>
      </c>
      <c r="X61" s="123">
        <f>SUMIF('OHB NEW'!$Y:$Y,'Price Table 8 OHB'!$A61,'OHB NEW'!AQ:AQ)</f>
        <v>0</v>
      </c>
      <c r="Y61" s="123">
        <f>SUMIF('OHB NEW'!$Y:$Y,'Price Table 8 OHB'!$A61,'OHB NEW'!AR:AR)</f>
        <v>0</v>
      </c>
      <c r="Z61" s="123">
        <f>SUMIF('OHB NEW'!$Y:$Y,'Price Table 8 OHB'!$A61,'OHB NEW'!AS:AS)</f>
        <v>0</v>
      </c>
      <c r="AA61" s="123">
        <f>SUMIF('OHB NEW'!$Y:$Y,'Price Table 8 OHB'!$A61,'OHB NEW'!AT:AT)</f>
        <v>0</v>
      </c>
      <c r="AB61" s="123">
        <f>SUMIF('OHB NEW'!$Y:$Y,'Price Table 8 OHB'!$A61,'OHB NEW'!AU:AU)</f>
        <v>0</v>
      </c>
      <c r="AC61" s="123">
        <f>SUMIF('OHB NEW'!$Y:$Y,'Price Table 8 OHB'!$A61,'OHB NEW'!AV:AV)</f>
        <v>0</v>
      </c>
      <c r="AD61" s="123">
        <f>SUMIF('OHB NEW'!$Y:$Y,'Price Table 8 OHB'!$A61,'OHB NEW'!AW:AW)</f>
        <v>0</v>
      </c>
      <c r="AE61" s="123">
        <f>SUMIF('OHB NEW'!$Y:$Y,'Price Table 8 OHB'!$A61,'OHB NEW'!AX:AX)</f>
        <v>0</v>
      </c>
      <c r="AF61" s="123">
        <f>SUMIF('OHB NEW'!$Y:$Y,'Price Table 8 OHB'!$A61,'OHB NEW'!AY:AY)</f>
        <v>0</v>
      </c>
      <c r="AG61" s="123">
        <f>SUMIF('OHB NEW'!$Y:$Y,'Price Table 8 OHB'!$A61,'OHB NEW'!AZ:AZ)</f>
        <v>0</v>
      </c>
      <c r="AH61" s="115">
        <f t="shared" si="0"/>
        <v>0</v>
      </c>
      <c r="AI61" s="390"/>
      <c r="AJ61" s="115"/>
    </row>
    <row r="62" spans="1:36" s="16" customFormat="1">
      <c r="B62" s="45"/>
      <c r="C62" s="55"/>
      <c r="D62" s="56" t="s">
        <v>562</v>
      </c>
      <c r="E62" s="57"/>
      <c r="F62" s="57"/>
      <c r="G62" s="57"/>
      <c r="H62" s="17"/>
    </row>
    <row r="63" spans="1:36">
      <c r="B63" s="48" t="s">
        <v>617</v>
      </c>
      <c r="C63" s="49"/>
      <c r="D63" s="50"/>
      <c r="H63"/>
      <c r="AI63"/>
    </row>
    <row r="64" spans="1:36">
      <c r="A64" t="s">
        <v>293</v>
      </c>
      <c r="B64" s="51" t="s">
        <v>618</v>
      </c>
      <c r="C64" s="54"/>
      <c r="D64" s="44"/>
      <c r="E64" s="37" t="s">
        <v>139</v>
      </c>
      <c r="F64" s="36" t="s">
        <v>13</v>
      </c>
      <c r="G64" s="36" t="str">
        <f>CONCATENATE(E64,F64)</f>
        <v>TECHManpower</v>
      </c>
      <c r="H64" s="61">
        <v>480000</v>
      </c>
      <c r="I64" t="s">
        <v>619</v>
      </c>
      <c r="J64" s="123">
        <f>SUMIF('OHB NEW'!$Y:$Y,'Price Table 8 OHB'!$A64,'OHB NEW'!AC:AC)</f>
        <v>0</v>
      </c>
      <c r="K64" s="123">
        <f>SUMIF('OHB NEW'!$Y:$Y,'Price Table 8 OHB'!$A64,'OHB NEW'!AD:AD)</f>
        <v>0</v>
      </c>
      <c r="L64" s="123">
        <f>SUMIF('OHB NEW'!$Y:$Y,'Price Table 8 OHB'!$A64,'OHB NEW'!AE:AE)</f>
        <v>0</v>
      </c>
      <c r="M64" s="123">
        <f>SUMIF('OHB NEW'!$Y:$Y,'Price Table 8 OHB'!$A64,'OHB NEW'!AF:AF)</f>
        <v>0</v>
      </c>
      <c r="N64" s="123">
        <f>SUMIF('OHB NEW'!$Y:$Y,'Price Table 8 OHB'!$A64,'OHB NEW'!AG:AG)</f>
        <v>0</v>
      </c>
      <c r="O64" s="123">
        <f>SUMIF('OHB NEW'!$Y:$Y,'Price Table 8 OHB'!$A64,'OHB NEW'!AH:AH)</f>
        <v>0</v>
      </c>
      <c r="P64" s="123">
        <f>SUMIF('OHB NEW'!$Y:$Y,'Price Table 8 OHB'!$A64,'OHB NEW'!AI:AI)</f>
        <v>0</v>
      </c>
      <c r="Q64" s="123">
        <f>SUMIF('OHB NEW'!$Y:$Y,'Price Table 8 OHB'!$A64,'OHB NEW'!AJ:AJ)</f>
        <v>0</v>
      </c>
      <c r="R64" s="123">
        <f>SUMIF('OHB NEW'!$Y:$Y,'Price Table 8 OHB'!$A64,'OHB NEW'!AK:AK)</f>
        <v>0</v>
      </c>
      <c r="S64" s="123">
        <f>SUMIF('OHB NEW'!$Y:$Y,'Price Table 8 OHB'!$A64,'OHB NEW'!AL:AL)</f>
        <v>0</v>
      </c>
      <c r="T64" s="123">
        <f>SUMIF('OHB NEW'!$Y:$Y,'Price Table 8 OHB'!$A64,'OHB NEW'!AM:AM)</f>
        <v>0</v>
      </c>
      <c r="U64" s="123">
        <f>SUMIF('OHB NEW'!$Y:$Y,'Price Table 8 OHB'!$A64,'OHB NEW'!AN:AN)</f>
        <v>0</v>
      </c>
      <c r="V64" s="123">
        <f>SUMIF('OHB NEW'!$Y:$Y,'Price Table 8 OHB'!$A64,'OHB NEW'!AO:AO)</f>
        <v>0</v>
      </c>
      <c r="W64" s="123">
        <f>SUMIF('OHB NEW'!$Y:$Y,'Price Table 8 OHB'!$A64,'OHB NEW'!AP:AP)</f>
        <v>0</v>
      </c>
      <c r="X64" s="123">
        <f>SUMIF('OHB NEW'!$Y:$Y,'Price Table 8 OHB'!$A64,'OHB NEW'!AQ:AQ)</f>
        <v>0</v>
      </c>
      <c r="Y64" s="123">
        <f>SUMIF('OHB NEW'!$Y:$Y,'Price Table 8 OHB'!$A64,'OHB NEW'!AR:AR)</f>
        <v>0</v>
      </c>
      <c r="Z64" s="123">
        <f>SUMIF('OHB NEW'!$Y:$Y,'Price Table 8 OHB'!$A64,'OHB NEW'!AS:AS)</f>
        <v>0</v>
      </c>
      <c r="AA64" s="123">
        <f>SUMIF('OHB NEW'!$Y:$Y,'Price Table 8 OHB'!$A64,'OHB NEW'!AT:AT)</f>
        <v>0</v>
      </c>
      <c r="AB64" s="123">
        <f>SUMIF('OHB NEW'!$Y:$Y,'Price Table 8 OHB'!$A64,'OHB NEW'!AU:AU)</f>
        <v>0</v>
      </c>
      <c r="AC64" s="123">
        <f>SUMIF('OHB NEW'!$Y:$Y,'Price Table 8 OHB'!$A64,'OHB NEW'!AV:AV)</f>
        <v>0</v>
      </c>
      <c r="AD64" s="123">
        <f>SUMIF('OHB NEW'!$Y:$Y,'Price Table 8 OHB'!$A64,'OHB NEW'!AW:AW)</f>
        <v>0</v>
      </c>
      <c r="AE64" s="123">
        <f>SUMIF('OHB NEW'!$Y:$Y,'Price Table 8 OHB'!$A64,'OHB NEW'!AX:AX)</f>
        <v>0</v>
      </c>
      <c r="AF64" s="123">
        <f>SUMIF('OHB NEW'!$Y:$Y,'Price Table 8 OHB'!$A64,'OHB NEW'!AY:AY)</f>
        <v>0</v>
      </c>
      <c r="AG64" s="123">
        <f>SUMIF('OHB NEW'!$Y:$Y,'Price Table 8 OHB'!$A64,'OHB NEW'!AZ:AZ)</f>
        <v>0</v>
      </c>
      <c r="AH64" s="115">
        <f t="shared" si="0"/>
        <v>0</v>
      </c>
      <c r="AI64" s="115">
        <f>SUMIF('OHB OLD'!$C:$C,'Price Table 8 OHB'!$A64,'OHB OLD'!AE:AE)</f>
        <v>0</v>
      </c>
      <c r="AJ64" s="115"/>
    </row>
    <row r="65" spans="1:36">
      <c r="A65" t="s">
        <v>620</v>
      </c>
      <c r="B65" s="51" t="s">
        <v>621</v>
      </c>
      <c r="C65" s="54"/>
      <c r="D65" s="44"/>
      <c r="E65" s="36" t="s">
        <v>139</v>
      </c>
      <c r="F65" s="36" t="s">
        <v>117</v>
      </c>
      <c r="G65" s="36" t="str">
        <f>CONCATENATE(E65,F65)</f>
        <v>TECHProcurement</v>
      </c>
      <c r="H65" s="61">
        <v>480000</v>
      </c>
      <c r="J65" s="123">
        <f>SUMIF('OHB NEW'!$Y:$Y,'Price Table 8 OHB'!$A65,'OHB NEW'!AC:AC)</f>
        <v>0</v>
      </c>
      <c r="K65" s="123">
        <f>SUMIF('OHB NEW'!$Y:$Y,'Price Table 8 OHB'!$A65,'OHB NEW'!AD:AD)</f>
        <v>0</v>
      </c>
      <c r="L65" s="123">
        <f>SUMIF('OHB NEW'!$Y:$Y,'Price Table 8 OHB'!$A65,'OHB NEW'!AE:AE)</f>
        <v>0</v>
      </c>
      <c r="M65" s="123">
        <f>SUMIF('OHB NEW'!$Y:$Y,'Price Table 8 OHB'!$A65,'OHB NEW'!AF:AF)</f>
        <v>0</v>
      </c>
      <c r="N65" s="123">
        <f>SUMIF('OHB NEW'!$Y:$Y,'Price Table 8 OHB'!$A65,'OHB NEW'!AG:AG)</f>
        <v>0</v>
      </c>
      <c r="O65" s="123">
        <f>SUMIF('OHB NEW'!$Y:$Y,'Price Table 8 OHB'!$A65,'OHB NEW'!AH:AH)</f>
        <v>0</v>
      </c>
      <c r="P65" s="123">
        <f>SUMIF('OHB NEW'!$Y:$Y,'Price Table 8 OHB'!$A65,'OHB NEW'!AI:AI)</f>
        <v>0</v>
      </c>
      <c r="Q65" s="123">
        <f>SUMIF('OHB NEW'!$Y:$Y,'Price Table 8 OHB'!$A65,'OHB NEW'!AJ:AJ)</f>
        <v>0</v>
      </c>
      <c r="R65" s="123">
        <f>SUMIF('OHB NEW'!$Y:$Y,'Price Table 8 OHB'!$A65,'OHB NEW'!AK:AK)</f>
        <v>0</v>
      </c>
      <c r="S65" s="123">
        <f>SUMIF('OHB NEW'!$Y:$Y,'Price Table 8 OHB'!$A65,'OHB NEW'!AL:AL)</f>
        <v>0</v>
      </c>
      <c r="T65" s="123">
        <f>SUMIF('OHB NEW'!$Y:$Y,'Price Table 8 OHB'!$A65,'OHB NEW'!AM:AM)</f>
        <v>0</v>
      </c>
      <c r="U65" s="123">
        <f>SUMIF('OHB NEW'!$Y:$Y,'Price Table 8 OHB'!$A65,'OHB NEW'!AN:AN)</f>
        <v>0</v>
      </c>
      <c r="V65" s="123">
        <f>SUMIF('OHB NEW'!$Y:$Y,'Price Table 8 OHB'!$A65,'OHB NEW'!AO:AO)</f>
        <v>0</v>
      </c>
      <c r="W65" s="123">
        <f>SUMIF('OHB NEW'!$Y:$Y,'Price Table 8 OHB'!$A65,'OHB NEW'!AP:AP)</f>
        <v>0</v>
      </c>
      <c r="X65" s="123">
        <f>SUMIF('OHB NEW'!$Y:$Y,'Price Table 8 OHB'!$A65,'OHB NEW'!AQ:AQ)</f>
        <v>0</v>
      </c>
      <c r="Y65" s="123">
        <f>SUMIF('OHB NEW'!$Y:$Y,'Price Table 8 OHB'!$A65,'OHB NEW'!AR:AR)</f>
        <v>0</v>
      </c>
      <c r="Z65" s="123">
        <f>SUMIF('OHB NEW'!$Y:$Y,'Price Table 8 OHB'!$A65,'OHB NEW'!AS:AS)</f>
        <v>0</v>
      </c>
      <c r="AA65" s="123">
        <f>SUMIF('OHB NEW'!$Y:$Y,'Price Table 8 OHB'!$A65,'OHB NEW'!AT:AT)</f>
        <v>0</v>
      </c>
      <c r="AB65" s="123">
        <f>SUMIF('OHB NEW'!$Y:$Y,'Price Table 8 OHB'!$A65,'OHB NEW'!AU:AU)</f>
        <v>0</v>
      </c>
      <c r="AC65" s="123">
        <f>SUMIF('OHB NEW'!$Y:$Y,'Price Table 8 OHB'!$A65,'OHB NEW'!AV:AV)</f>
        <v>0</v>
      </c>
      <c r="AD65" s="123">
        <f>SUMIF('OHB NEW'!$Y:$Y,'Price Table 8 OHB'!$A65,'OHB NEW'!AW:AW)</f>
        <v>0</v>
      </c>
      <c r="AE65" s="123">
        <f>SUMIF('OHB NEW'!$Y:$Y,'Price Table 8 OHB'!$A65,'OHB NEW'!AX:AX)</f>
        <v>0</v>
      </c>
      <c r="AF65" s="123">
        <f>SUMIF('OHB NEW'!$Y:$Y,'Price Table 8 OHB'!$A65,'OHB NEW'!AY:AY)</f>
        <v>0</v>
      </c>
      <c r="AG65" s="123">
        <f>SUMIF('OHB NEW'!$Y:$Y,'Price Table 8 OHB'!$A65,'OHB NEW'!AZ:AZ)</f>
        <v>0</v>
      </c>
      <c r="AH65" s="115">
        <f t="shared" si="0"/>
        <v>0</v>
      </c>
      <c r="AI65" s="115">
        <f>SUMIF('OHB OLD'!$C:$C,'Price Table 8 OHB'!$A65,'OHB OLD'!AE:AE)</f>
        <v>0</v>
      </c>
      <c r="AJ65" s="115"/>
    </row>
    <row r="66" spans="1:36" s="16" customFormat="1">
      <c r="B66" s="45"/>
      <c r="C66" s="55"/>
      <c r="D66" s="56" t="s">
        <v>562</v>
      </c>
      <c r="E66" s="57"/>
      <c r="F66" s="57"/>
      <c r="G66" s="57"/>
      <c r="H66" s="17"/>
      <c r="AI66" s="390"/>
      <c r="AJ66" s="390"/>
    </row>
    <row r="67" spans="1:36">
      <c r="A67" t="s">
        <v>377</v>
      </c>
      <c r="B67" s="48" t="s">
        <v>622</v>
      </c>
      <c r="C67" s="49"/>
      <c r="D67" s="50"/>
      <c r="E67" s="36" t="s">
        <v>139</v>
      </c>
      <c r="F67" s="36" t="s">
        <v>117</v>
      </c>
      <c r="G67" s="36" t="str">
        <f>CONCATENATE(E67,F67)</f>
        <v>TECHProcurement</v>
      </c>
      <c r="H67" s="16">
        <v>540000</v>
      </c>
      <c r="J67" s="123">
        <f>SUMIF('OHB NEW'!$Y:$Y,'Price Table 8 OHB'!$A67,'OHB NEW'!AC:AC)</f>
        <v>0</v>
      </c>
      <c r="K67" s="123">
        <f>SUMIF('OHB NEW'!$Y:$Y,'Price Table 8 OHB'!$A67,'OHB NEW'!AD:AD)</f>
        <v>0</v>
      </c>
      <c r="L67" s="123">
        <f>SUMIF('OHB NEW'!$Y:$Y,'Price Table 8 OHB'!$A67,'OHB NEW'!AE:AE)</f>
        <v>0</v>
      </c>
      <c r="M67" s="123">
        <f>SUMIF('OHB NEW'!$Y:$Y,'Price Table 8 OHB'!$A67,'OHB NEW'!AF:AF)</f>
        <v>0</v>
      </c>
      <c r="N67" s="123">
        <f>SUMIF('OHB NEW'!$Y:$Y,'Price Table 8 OHB'!$A67,'OHB NEW'!AG:AG)</f>
        <v>0</v>
      </c>
      <c r="O67" s="123">
        <f>SUMIF('OHB NEW'!$Y:$Y,'Price Table 8 OHB'!$A67,'OHB NEW'!AH:AH)</f>
        <v>0</v>
      </c>
      <c r="P67" s="123">
        <f>SUMIF('OHB NEW'!$Y:$Y,'Price Table 8 OHB'!$A67,'OHB NEW'!AI:AI)</f>
        <v>0</v>
      </c>
      <c r="Q67" s="123">
        <f>SUMIF('OHB NEW'!$Y:$Y,'Price Table 8 OHB'!$A67,'OHB NEW'!AJ:AJ)</f>
        <v>0</v>
      </c>
      <c r="R67" s="123">
        <f>SUMIF('OHB NEW'!$Y:$Y,'Price Table 8 OHB'!$A67,'OHB NEW'!AK:AK)</f>
        <v>0</v>
      </c>
      <c r="S67" s="123">
        <f>SUMIF('OHB NEW'!$Y:$Y,'Price Table 8 OHB'!$A67,'OHB NEW'!AL:AL)</f>
        <v>0</v>
      </c>
      <c r="T67" s="123">
        <f>SUMIF('OHB NEW'!$Y:$Y,'Price Table 8 OHB'!$A67,'OHB NEW'!AM:AM)</f>
        <v>0</v>
      </c>
      <c r="U67" s="123">
        <f>SUMIF('OHB NEW'!$Y:$Y,'Price Table 8 OHB'!$A67,'OHB NEW'!AN:AN)</f>
        <v>0</v>
      </c>
      <c r="V67" s="123">
        <f>SUMIF('OHB NEW'!$Y:$Y,'Price Table 8 OHB'!$A67,'OHB NEW'!AO:AO)</f>
        <v>0</v>
      </c>
      <c r="W67" s="123">
        <f>SUMIF('OHB NEW'!$Y:$Y,'Price Table 8 OHB'!$A67,'OHB NEW'!AP:AP)</f>
        <v>0</v>
      </c>
      <c r="X67" s="123">
        <f>SUMIF('OHB NEW'!$Y:$Y,'Price Table 8 OHB'!$A67,'OHB NEW'!AQ:AQ)</f>
        <v>0</v>
      </c>
      <c r="Y67" s="123">
        <f>SUMIF('OHB NEW'!$Y:$Y,'Price Table 8 OHB'!$A67,'OHB NEW'!AR:AR)</f>
        <v>0</v>
      </c>
      <c r="Z67" s="123">
        <f>SUMIF('OHB NEW'!$Y:$Y,'Price Table 8 OHB'!$A67,'OHB NEW'!AS:AS)</f>
        <v>0</v>
      </c>
      <c r="AA67" s="123">
        <f>SUMIF('OHB NEW'!$Y:$Y,'Price Table 8 OHB'!$A67,'OHB NEW'!AT:AT)</f>
        <v>0</v>
      </c>
      <c r="AB67" s="123">
        <f>SUMIF('OHB NEW'!$Y:$Y,'Price Table 8 OHB'!$A67,'OHB NEW'!AU:AU)</f>
        <v>0</v>
      </c>
      <c r="AC67" s="123">
        <f>SUMIF('OHB NEW'!$Y:$Y,'Price Table 8 OHB'!$A67,'OHB NEW'!AV:AV)</f>
        <v>0</v>
      </c>
      <c r="AD67" s="123">
        <f>SUMIF('OHB NEW'!$Y:$Y,'Price Table 8 OHB'!$A67,'OHB NEW'!AW:AW)</f>
        <v>0</v>
      </c>
      <c r="AE67" s="123">
        <f>SUMIF('OHB NEW'!$Y:$Y,'Price Table 8 OHB'!$A67,'OHB NEW'!AX:AX)</f>
        <v>0</v>
      </c>
      <c r="AF67" s="123">
        <f>SUMIF('OHB NEW'!$Y:$Y,'Price Table 8 OHB'!$A67,'OHB NEW'!AY:AY)</f>
        <v>0</v>
      </c>
      <c r="AG67" s="123">
        <f>SUMIF('OHB NEW'!$Y:$Y,'Price Table 8 OHB'!$A67,'OHB NEW'!AZ:AZ)</f>
        <v>0</v>
      </c>
      <c r="AH67" s="115">
        <f t="shared" si="0"/>
        <v>0</v>
      </c>
      <c r="AI67" s="115">
        <f>SUMIF('OHB OLD'!$C:$C,'Price Table 8 OHB'!$A67,'OHB OLD'!AE:AE)</f>
        <v>0</v>
      </c>
      <c r="AJ67" s="115"/>
    </row>
    <row r="68" spans="1:36">
      <c r="B68" s="20" t="s">
        <v>623</v>
      </c>
      <c r="C68" s="21"/>
      <c r="D68" s="22"/>
      <c r="H68"/>
      <c r="AI68"/>
    </row>
    <row r="69" spans="1:36" ht="21.95" customHeight="1">
      <c r="B69" s="23"/>
      <c r="C69" s="5"/>
      <c r="D69" s="5"/>
      <c r="E69"/>
      <c r="F69"/>
      <c r="G69"/>
      <c r="H69"/>
      <c r="AI69"/>
    </row>
    <row r="70" spans="1:36" ht="21.95" customHeight="1">
      <c r="A70" t="s">
        <v>9</v>
      </c>
      <c r="B70" s="12" t="s">
        <v>624</v>
      </c>
      <c r="C70" s="13"/>
      <c r="D70" s="14"/>
      <c r="E70" s="37" t="s">
        <v>14</v>
      </c>
      <c r="F70" s="36" t="s">
        <v>117</v>
      </c>
      <c r="G70" s="36" t="str">
        <f>CONCATENATE(E70,F70)</f>
        <v>MISSIONProcurement</v>
      </c>
      <c r="H70" s="16">
        <v>320000</v>
      </c>
      <c r="AI70"/>
    </row>
    <row r="71" spans="1:36" ht="21.95" customHeight="1">
      <c r="B71" s="5"/>
      <c r="C71" s="5"/>
      <c r="D71" s="5"/>
      <c r="E71"/>
      <c r="F71"/>
      <c r="G71"/>
      <c r="H71"/>
      <c r="AI71"/>
    </row>
    <row r="72" spans="1:36">
      <c r="B72" s="23"/>
      <c r="C72" s="5"/>
      <c r="D72" s="5"/>
      <c r="H72"/>
      <c r="AI72"/>
    </row>
    <row r="73" spans="1:36">
      <c r="B73" s="12" t="s">
        <v>625</v>
      </c>
      <c r="C73" s="13"/>
      <c r="D73" s="14"/>
      <c r="H73"/>
      <c r="AI73"/>
    </row>
    <row r="74" spans="1:36">
      <c r="A74" t="s">
        <v>389</v>
      </c>
      <c r="B74" s="321" t="s">
        <v>626</v>
      </c>
      <c r="C74" s="19"/>
      <c r="D74" s="315"/>
      <c r="E74" s="37" t="s">
        <v>14</v>
      </c>
      <c r="F74" s="36" t="s">
        <v>13</v>
      </c>
      <c r="G74" s="36" t="str">
        <f>CONCATENATE(E74,F74)</f>
        <v>MISSIONManpower</v>
      </c>
      <c r="H74" s="64" t="s">
        <v>627</v>
      </c>
      <c r="J74" s="123">
        <f>SUMIF('OHB NEW'!$Y:$Y,'Price Table 8 OHB'!$A74,'OHB NEW'!AC:AC)</f>
        <v>0</v>
      </c>
      <c r="K74" s="123">
        <f>SUMIF('OHB NEW'!$Y:$Y,'Price Table 8 OHB'!$A74,'OHB NEW'!AD:AD)</f>
        <v>63.778057238672311</v>
      </c>
      <c r="L74" s="123">
        <f>SUMIF('OHB NEW'!$Y:$Y,'Price Table 8 OHB'!$A74,'OHB NEW'!AE:AE)</f>
        <v>112.60813231203079</v>
      </c>
      <c r="M74" s="123">
        <f>SUMIF('OHB NEW'!$Y:$Y,'Price Table 8 OHB'!$A74,'OHB NEW'!AF:AF)</f>
        <v>48.830075073358486</v>
      </c>
      <c r="N74" s="123">
        <f>SUMIF('OHB NEW'!$Y:$Y,'Price Table 8 OHB'!$A74,'OHB NEW'!AG:AG)</f>
        <v>52.816203650775506</v>
      </c>
      <c r="O74" s="123">
        <f>SUMIF('OHB NEW'!$Y:$Y,'Price Table 8 OHB'!$A74,'OHB NEW'!AH:AH)</f>
        <v>73.245112610037737</v>
      </c>
      <c r="P74" s="123">
        <f>SUMIF('OHB NEW'!$Y:$Y,'Price Table 8 OHB'!$A74,'OHB NEW'!AI:AI)</f>
        <v>73.245112610037737</v>
      </c>
      <c r="Q74" s="123">
        <f>SUMIF('OHB NEW'!$Y:$Y,'Price Table 8 OHB'!$A74,'OHB NEW'!AJ:AJ)</f>
        <v>109.1202698067909</v>
      </c>
      <c r="R74" s="123">
        <f>SUMIF('OHB NEW'!$Y:$Y,'Price Table 8 OHB'!$A74,'OHB NEW'!AK:AK)</f>
        <v>109.1202698067909</v>
      </c>
      <c r="S74" s="123">
        <f>SUMIF('OHB NEW'!$Y:$Y,'Price Table 8 OHB'!$A74,'OHB NEW'!AL:AL)</f>
        <v>65.023722419115131</v>
      </c>
      <c r="T74" s="123">
        <f>SUMIF('OHB NEW'!$Y:$Y,'Price Table 8 OHB'!$A74,'OHB NEW'!AM:AM)</f>
        <v>61.037593841698111</v>
      </c>
      <c r="U74" s="123">
        <f>SUMIF('OHB NEW'!$Y:$Y,'Price Table 8 OHB'!$A74,'OHB NEW'!AN:AN)</f>
        <v>0</v>
      </c>
      <c r="V74" s="123">
        <f>SUMIF('OHB NEW'!$Y:$Y,'Price Table 8 OHB'!$A74,'OHB NEW'!AO:AO)</f>
        <v>0</v>
      </c>
      <c r="W74" s="123">
        <f>SUMIF('OHB NEW'!$Y:$Y,'Price Table 8 OHB'!$A74,'OHB NEW'!AP:AP)</f>
        <v>0</v>
      </c>
      <c r="X74" s="123">
        <f>SUMIF('OHB NEW'!$Y:$Y,'Price Table 8 OHB'!$A74,'OHB NEW'!AQ:AQ)</f>
        <v>0</v>
      </c>
      <c r="Y74" s="123">
        <f>SUMIF('OHB NEW'!$Y:$Y,'Price Table 8 OHB'!$A74,'OHB NEW'!AR:AR)</f>
        <v>0</v>
      </c>
      <c r="Z74" s="123">
        <f>SUMIF('OHB NEW'!$Y:$Y,'Price Table 8 OHB'!$A74,'OHB NEW'!AS:AS)</f>
        <v>0</v>
      </c>
      <c r="AA74" s="123">
        <f>SUMIF('OHB NEW'!$Y:$Y,'Price Table 8 OHB'!$A74,'OHB NEW'!AT:AT)</f>
        <v>0</v>
      </c>
      <c r="AB74" s="123">
        <f>SUMIF('OHB NEW'!$Y:$Y,'Price Table 8 OHB'!$A74,'OHB NEW'!AU:AU)</f>
        <v>0</v>
      </c>
      <c r="AC74" s="123">
        <f>SUMIF('OHB NEW'!$Y:$Y,'Price Table 8 OHB'!$A74,'OHB NEW'!AV:AV)</f>
        <v>31.923707175793606</v>
      </c>
      <c r="AD74" s="123">
        <f>SUMIF('OHB NEW'!$Y:$Y,'Price Table 8 OHB'!$A74,'OHB NEW'!AW:AW)</f>
        <v>31.923707175793606</v>
      </c>
      <c r="AE74" s="123">
        <f>SUMIF('OHB NEW'!$Y:$Y,'Price Table 8 OHB'!$A74,'OHB NEW'!AX:AX)</f>
        <v>0</v>
      </c>
      <c r="AF74" s="123">
        <f>SUMIF('OHB NEW'!$Y:$Y,'Price Table 8 OHB'!$A74,'OHB NEW'!AY:AY)</f>
        <v>0</v>
      </c>
      <c r="AG74" s="123">
        <f>SUMIF('OHB NEW'!$Y:$Y,'Price Table 8 OHB'!$A74,'OHB NEW'!AZ:AZ)</f>
        <v>0</v>
      </c>
      <c r="AH74" s="115">
        <f t="shared" si="0"/>
        <v>832.67196372089495</v>
      </c>
      <c r="AI74" s="115">
        <f>SUMIF('OHB OLD'!$C:$C,'Price Table 8 OHB'!$A74,'OHB OLD'!AE:AE)</f>
        <v>832.67196372089472</v>
      </c>
      <c r="AJ74" s="115"/>
    </row>
    <row r="75" spans="1:36">
      <c r="A75" t="s">
        <v>434</v>
      </c>
      <c r="B75" s="603" t="s">
        <v>432</v>
      </c>
      <c r="C75" s="5"/>
      <c r="D75" s="316"/>
      <c r="E75" s="37" t="s">
        <v>14</v>
      </c>
      <c r="F75" s="36" t="s">
        <v>13</v>
      </c>
      <c r="G75" s="36" t="str">
        <f>CONCATENATE(E75,F75)</f>
        <v>MISSIONManpower</v>
      </c>
      <c r="H75" s="16" t="s">
        <v>628</v>
      </c>
      <c r="J75" s="123">
        <f>SUMIF('OHB NEW'!$Y:$Y,'Price Table 8 OHB'!$A75,'OHB NEW'!AC:AC)</f>
        <v>0</v>
      </c>
      <c r="K75" s="123">
        <f>SUMIF('OHB NEW'!$Y:$Y,'Price Table 8 OHB'!$A75,'OHB NEW'!AD:AD)</f>
        <v>0</v>
      </c>
      <c r="L75" s="123">
        <f>SUMIF('OHB NEW'!$Y:$Y,'Price Table 8 OHB'!$A75,'OHB NEW'!AE:AE)</f>
        <v>0</v>
      </c>
      <c r="M75" s="123">
        <f>SUMIF('OHB NEW'!$Y:$Y,'Price Table 8 OHB'!$A75,'OHB NEW'!AF:AF)</f>
        <v>0</v>
      </c>
      <c r="N75" s="123">
        <f>SUMIF('OHB NEW'!$Y:$Y,'Price Table 8 OHB'!$A75,'OHB NEW'!AG:AG)</f>
        <v>0</v>
      </c>
      <c r="O75" s="123">
        <f>SUMIF('OHB NEW'!$Y:$Y,'Price Table 8 OHB'!$A75,'OHB NEW'!AH:AH)</f>
        <v>0</v>
      </c>
      <c r="P75" s="123">
        <f>SUMIF('OHB NEW'!$Y:$Y,'Price Table 8 OHB'!$A75,'OHB NEW'!AI:AI)</f>
        <v>0</v>
      </c>
      <c r="Q75" s="123">
        <f>SUMIF('OHB NEW'!$Y:$Y,'Price Table 8 OHB'!$A75,'OHB NEW'!AJ:AJ)</f>
        <v>0</v>
      </c>
      <c r="R75" s="123">
        <f>SUMIF('OHB NEW'!$Y:$Y,'Price Table 8 OHB'!$A75,'OHB NEW'!AK:AK)</f>
        <v>0</v>
      </c>
      <c r="S75" s="123">
        <f>SUMIF('OHB NEW'!$Y:$Y,'Price Table 8 OHB'!$A75,'OHB NEW'!AL:AL)</f>
        <v>0</v>
      </c>
      <c r="T75" s="123">
        <f>SUMIF('OHB NEW'!$Y:$Y,'Price Table 8 OHB'!$A75,'OHB NEW'!AM:AM)</f>
        <v>0</v>
      </c>
      <c r="U75" s="123">
        <f>SUMIF('OHB NEW'!$Y:$Y,'Price Table 8 OHB'!$A75,'OHB NEW'!AN:AN)</f>
        <v>12.456651804428185</v>
      </c>
      <c r="V75" s="123">
        <f>SUMIF('OHB NEW'!$Y:$Y,'Price Table 8 OHB'!$A75,'OHB NEW'!AO:AO)</f>
        <v>75.570354280197662</v>
      </c>
      <c r="W75" s="123">
        <f>SUMIF('OHB NEW'!$Y:$Y,'Price Table 8 OHB'!$A75,'OHB NEW'!AP:AP)</f>
        <v>75.570354280197662</v>
      </c>
      <c r="X75" s="123">
        <f>SUMIF('OHB NEW'!$Y:$Y,'Price Table 8 OHB'!$A75,'OHB NEW'!AQ:AQ)</f>
        <v>75.570354280197662</v>
      </c>
      <c r="Y75" s="123">
        <f>SUMIF('OHB NEW'!$Y:$Y,'Price Table 8 OHB'!$A75,'OHB NEW'!AR:AR)</f>
        <v>5.6470154846741112</v>
      </c>
      <c r="Z75" s="123">
        <f>SUMIF('OHB NEW'!$Y:$Y,'Price Table 8 OHB'!$A75,'OHB NEW'!AS:AS)</f>
        <v>5.6470154846741112</v>
      </c>
      <c r="AA75" s="123">
        <f>SUMIF('OHB NEW'!$Y:$Y,'Price Table 8 OHB'!$A75,'OHB NEW'!AT:AT)</f>
        <v>12.456651804428185</v>
      </c>
      <c r="AB75" s="123">
        <f>SUMIF('OHB NEW'!$Y:$Y,'Price Table 8 OHB'!$A75,'OHB NEW'!AU:AU)</f>
        <v>12.456651804428185</v>
      </c>
      <c r="AC75" s="123">
        <f>SUMIF('OHB NEW'!$Y:$Y,'Price Table 8 OHB'!$A75,'OHB NEW'!AV:AV)</f>
        <v>190.31172592507909</v>
      </c>
      <c r="AD75" s="123">
        <f>SUMIF('OHB NEW'!$Y:$Y,'Price Table 8 OHB'!$A75,'OHB NEW'!AW:AW)</f>
        <v>160.32997980259898</v>
      </c>
      <c r="AE75" s="123">
        <f>SUMIF('OHB NEW'!$Y:$Y,'Price Table 8 OHB'!$A75,'OHB NEW'!AX:AX)</f>
        <v>349.31919515262376</v>
      </c>
      <c r="AF75" s="123">
        <f>SUMIF('OHB NEW'!$Y:$Y,'Price Table 8 OHB'!$A75,'OHB NEW'!AY:AY)</f>
        <v>349.31919515262376</v>
      </c>
      <c r="AG75" s="123">
        <f>SUMIF('OHB NEW'!$Y:$Y,'Price Table 8 OHB'!$A75,'OHB NEW'!AZ:AZ)</f>
        <v>342.50955883286969</v>
      </c>
      <c r="AH75" s="115">
        <f t="shared" si="0"/>
        <v>1667.1647040890211</v>
      </c>
      <c r="AI75" s="115">
        <f>SUMIF('OHB OLD'!$C:$C,'Price Table 8 OHB'!$A75,'OHB OLD'!AE:AE)</f>
        <v>1667.1647040890211</v>
      </c>
      <c r="AJ75" s="115"/>
    </row>
    <row r="76" spans="1:36">
      <c r="A76" t="s">
        <v>427</v>
      </c>
      <c r="B76" s="322" t="s">
        <v>629</v>
      </c>
      <c r="C76" s="5"/>
      <c r="D76" s="316"/>
      <c r="E76" s="36" t="s">
        <v>139</v>
      </c>
      <c r="F76" s="36" t="s">
        <v>13</v>
      </c>
      <c r="G76" s="36" t="str">
        <f>CONCATENATE(E76,F76)</f>
        <v>TECHManpower</v>
      </c>
      <c r="H76" s="16">
        <v>650000</v>
      </c>
      <c r="J76" s="123">
        <f>SUMIF('OHB NEW'!$Y:$Y,'Price Table 8 OHB'!$A76,'OHB NEW'!AC:AC)</f>
        <v>0</v>
      </c>
      <c r="K76" s="123">
        <f>SUMIF('OHB NEW'!$Y:$Y,'Price Table 8 OHB'!$A76,'OHB NEW'!AD:AD)</f>
        <v>0</v>
      </c>
      <c r="L76" s="123">
        <f>SUMIF('OHB NEW'!$Y:$Y,'Price Table 8 OHB'!$A76,'OHB NEW'!AE:AE)</f>
        <v>0</v>
      </c>
      <c r="M76" s="123">
        <f>SUMIF('OHB NEW'!$Y:$Y,'Price Table 8 OHB'!$A76,'OHB NEW'!AF:AF)</f>
        <v>0</v>
      </c>
      <c r="N76" s="123">
        <f>SUMIF('OHB NEW'!$Y:$Y,'Price Table 8 OHB'!$A76,'OHB NEW'!AG:AG)</f>
        <v>0</v>
      </c>
      <c r="O76" s="123">
        <f>SUMIF('OHB NEW'!$Y:$Y,'Price Table 8 OHB'!$A76,'OHB NEW'!AH:AH)</f>
        <v>0</v>
      </c>
      <c r="P76" s="123">
        <f>SUMIF('OHB NEW'!$Y:$Y,'Price Table 8 OHB'!$A76,'OHB NEW'!AI:AI)</f>
        <v>0</v>
      </c>
      <c r="Q76" s="123">
        <f>SUMIF('OHB NEW'!$Y:$Y,'Price Table 8 OHB'!$A76,'OHB NEW'!AJ:AJ)</f>
        <v>0</v>
      </c>
      <c r="R76" s="123">
        <f>SUMIF('OHB NEW'!$Y:$Y,'Price Table 8 OHB'!$A76,'OHB NEW'!AK:AK)</f>
        <v>0</v>
      </c>
      <c r="S76" s="123">
        <f>SUMIF('OHB NEW'!$Y:$Y,'Price Table 8 OHB'!$A76,'OHB NEW'!AL:AL)</f>
        <v>0</v>
      </c>
      <c r="T76" s="123">
        <f>SUMIF('OHB NEW'!$Y:$Y,'Price Table 8 OHB'!$A76,'OHB NEW'!AM:AM)</f>
        <v>0</v>
      </c>
      <c r="U76" s="123">
        <f>SUMIF('OHB NEW'!$Y:$Y,'Price Table 8 OHB'!$A76,'OHB NEW'!AN:AN)</f>
        <v>0</v>
      </c>
      <c r="V76" s="123">
        <f>SUMIF('OHB NEW'!$Y:$Y,'Price Table 8 OHB'!$A76,'OHB NEW'!AO:AO)</f>
        <v>0</v>
      </c>
      <c r="W76" s="123">
        <f>SUMIF('OHB NEW'!$Y:$Y,'Price Table 8 OHB'!$A76,'OHB NEW'!AP:AP)</f>
        <v>0</v>
      </c>
      <c r="X76" s="123">
        <f>SUMIF('OHB NEW'!$Y:$Y,'Price Table 8 OHB'!$A76,'OHB NEW'!AQ:AQ)</f>
        <v>0</v>
      </c>
      <c r="Y76" s="123">
        <f>SUMIF('OHB NEW'!$Y:$Y,'Price Table 8 OHB'!$A76,'OHB NEW'!AR:AR)</f>
        <v>0</v>
      </c>
      <c r="Z76" s="123">
        <f>SUMIF('OHB NEW'!$Y:$Y,'Price Table 8 OHB'!$A76,'OHB NEW'!AS:AS)</f>
        <v>0</v>
      </c>
      <c r="AA76" s="123">
        <f>SUMIF('OHB NEW'!$Y:$Y,'Price Table 8 OHB'!$A76,'OHB NEW'!AT:AT)</f>
        <v>0</v>
      </c>
      <c r="AB76" s="123">
        <f>SUMIF('OHB NEW'!$Y:$Y,'Price Table 8 OHB'!$A76,'OHB NEW'!AU:AU)</f>
        <v>0</v>
      </c>
      <c r="AC76" s="123">
        <f>SUMIF('OHB NEW'!$Y:$Y,'Price Table 8 OHB'!$A76,'OHB NEW'!AV:AV)</f>
        <v>0</v>
      </c>
      <c r="AD76" s="123">
        <f>SUMIF('OHB NEW'!$Y:$Y,'Price Table 8 OHB'!$A76,'OHB NEW'!AW:AW)</f>
        <v>0</v>
      </c>
      <c r="AE76" s="123">
        <f>SUMIF('OHB NEW'!$Y:$Y,'Price Table 8 OHB'!$A76,'OHB NEW'!AX:AX)</f>
        <v>0</v>
      </c>
      <c r="AF76" s="123">
        <f>SUMIF('OHB NEW'!$Y:$Y,'Price Table 8 OHB'!$A76,'OHB NEW'!AY:AY)</f>
        <v>0</v>
      </c>
      <c r="AG76" s="123">
        <f>SUMIF('OHB NEW'!$Y:$Y,'Price Table 8 OHB'!$A76,'OHB NEW'!AZ:AZ)</f>
        <v>0</v>
      </c>
      <c r="AH76" s="115">
        <f t="shared" si="0"/>
        <v>0</v>
      </c>
      <c r="AI76" s="115">
        <f>SUMIF('OHB OLD'!$C:$C,'Price Table 8 OHB'!$A76,'OHB OLD'!AE:AE)</f>
        <v>0</v>
      </c>
      <c r="AJ76" s="115"/>
    </row>
    <row r="77" spans="1:36">
      <c r="A77" t="s">
        <v>396</v>
      </c>
      <c r="B77" s="322" t="s">
        <v>630</v>
      </c>
      <c r="C77" s="5"/>
      <c r="D77" s="316"/>
      <c r="E77" s="37" t="s">
        <v>14</v>
      </c>
      <c r="F77" s="37" t="s">
        <v>117</v>
      </c>
      <c r="G77" s="36" t="str">
        <f>CONCATENATE(E77,F77)</f>
        <v>MISSIONProcurement</v>
      </c>
      <c r="H77">
        <v>620100</v>
      </c>
      <c r="I77" s="18"/>
      <c r="J77" s="123">
        <f>SUMIF('OHB NEW'!$Y:$Y,'Price Table 8 OHB'!$A77,'OHB NEW'!AC:AC)</f>
        <v>0</v>
      </c>
      <c r="K77" s="123">
        <f>SUMIF('OHB NEW'!$Y:$Y,'Price Table 8 OHB'!$A77,'OHB NEW'!AD:AD)</f>
        <v>0</v>
      </c>
      <c r="L77" s="123">
        <f>SUMIF('OHB NEW'!$Y:$Y,'Price Table 8 OHB'!$A77,'OHB NEW'!AE:AE)</f>
        <v>0</v>
      </c>
      <c r="M77" s="123">
        <f>SUMIF('OHB NEW'!$Y:$Y,'Price Table 8 OHB'!$A77,'OHB NEW'!AF:AF)</f>
        <v>0</v>
      </c>
      <c r="N77" s="123">
        <f>SUMIF('OHB NEW'!$Y:$Y,'Price Table 8 OHB'!$A77,'OHB NEW'!AG:AG)</f>
        <v>0</v>
      </c>
      <c r="O77" s="123">
        <f>SUMIF('OHB NEW'!$Y:$Y,'Price Table 8 OHB'!$A77,'OHB NEW'!AH:AH)</f>
        <v>0</v>
      </c>
      <c r="P77" s="123">
        <f>SUMIF('OHB NEW'!$Y:$Y,'Price Table 8 OHB'!$A77,'OHB NEW'!AI:AI)</f>
        <v>0</v>
      </c>
      <c r="Q77" s="123">
        <f>SUMIF('OHB NEW'!$Y:$Y,'Price Table 8 OHB'!$A77,'OHB NEW'!AJ:AJ)</f>
        <v>0</v>
      </c>
      <c r="R77" s="123">
        <f>SUMIF('OHB NEW'!$Y:$Y,'Price Table 8 OHB'!$A77,'OHB NEW'!AK:AK)</f>
        <v>0</v>
      </c>
      <c r="S77" s="123">
        <f>SUMIF('OHB NEW'!$Y:$Y,'Price Table 8 OHB'!$A77,'OHB NEW'!AL:AL)</f>
        <v>0</v>
      </c>
      <c r="T77" s="123">
        <f>SUMIF('OHB NEW'!$Y:$Y,'Price Table 8 OHB'!$A77,'OHB NEW'!AM:AM)</f>
        <v>0</v>
      </c>
      <c r="U77" s="123">
        <f>SUMIF('OHB NEW'!$Y:$Y,'Price Table 8 OHB'!$A77,'OHB NEW'!AN:AN)</f>
        <v>0</v>
      </c>
      <c r="V77" s="123">
        <f>SUMIF('OHB NEW'!$Y:$Y,'Price Table 8 OHB'!$A77,'OHB NEW'!AO:AO)</f>
        <v>0</v>
      </c>
      <c r="W77" s="123">
        <f>SUMIF('OHB NEW'!$Y:$Y,'Price Table 8 OHB'!$A77,'OHB NEW'!AP:AP)</f>
        <v>0</v>
      </c>
      <c r="X77" s="123">
        <f>SUMIF('OHB NEW'!$Y:$Y,'Price Table 8 OHB'!$A77,'OHB NEW'!AQ:AQ)</f>
        <v>0</v>
      </c>
      <c r="Y77" s="123">
        <f>SUMIF('OHB NEW'!$Y:$Y,'Price Table 8 OHB'!$A77,'OHB NEW'!AR:AR)</f>
        <v>0</v>
      </c>
      <c r="Z77" s="123">
        <f>SUMIF('OHB NEW'!$Y:$Y,'Price Table 8 OHB'!$A77,'OHB NEW'!AS:AS)</f>
        <v>0</v>
      </c>
      <c r="AA77" s="123">
        <f>SUMIF('OHB NEW'!$Y:$Y,'Price Table 8 OHB'!$A77,'OHB NEW'!AT:AT)</f>
        <v>0</v>
      </c>
      <c r="AB77" s="123">
        <f>SUMIF('OHB NEW'!$Y:$Y,'Price Table 8 OHB'!$A77,'OHB NEW'!AU:AU)</f>
        <v>0</v>
      </c>
      <c r="AC77" s="123">
        <f>SUMIF('OHB NEW'!$Y:$Y,'Price Table 8 OHB'!$A77,'OHB NEW'!AV:AV)</f>
        <v>0</v>
      </c>
      <c r="AD77" s="123">
        <f>SUMIF('OHB NEW'!$Y:$Y,'Price Table 8 OHB'!$A77,'OHB NEW'!AW:AW)</f>
        <v>0</v>
      </c>
      <c r="AE77" s="123">
        <f>SUMIF('OHB NEW'!$Y:$Y,'Price Table 8 OHB'!$A77,'OHB NEW'!AX:AX)</f>
        <v>0</v>
      </c>
      <c r="AF77" s="123">
        <f>SUMIF('OHB NEW'!$Y:$Y,'Price Table 8 OHB'!$A77,'OHB NEW'!AY:AY)</f>
        <v>0</v>
      </c>
      <c r="AG77" s="123">
        <f>SUMIF('OHB NEW'!$Y:$Y,'Price Table 8 OHB'!$A77,'OHB NEW'!AZ:AZ)</f>
        <v>0</v>
      </c>
      <c r="AH77" s="115">
        <f t="shared" si="0"/>
        <v>0</v>
      </c>
      <c r="AI77" s="115">
        <f>SUMIF('OHB OLD'!$C:$C,'Price Table 8 OHB'!$A77,'OHB OLD'!AE:AE)</f>
        <v>0</v>
      </c>
      <c r="AJ77" s="115"/>
    </row>
    <row r="78" spans="1:36" ht="15.75" thickBot="1">
      <c r="A78" t="s">
        <v>631</v>
      </c>
      <c r="B78" s="602" t="s">
        <v>632</v>
      </c>
      <c r="C78" s="318"/>
      <c r="D78" s="319"/>
      <c r="E78" s="37" t="s">
        <v>14</v>
      </c>
      <c r="F78" s="36" t="s">
        <v>117</v>
      </c>
      <c r="G78" s="36" t="str">
        <f>CONCATENATE(E78,F78)</f>
        <v>MISSIONProcurement</v>
      </c>
      <c r="H78" t="s">
        <v>643</v>
      </c>
      <c r="J78" s="123">
        <f>SUMIF('OHB NEW'!$Y:$Y,'Price Table 8 OHB'!$A78,'OHB NEW'!AC:AC)</f>
        <v>0</v>
      </c>
      <c r="K78" s="123">
        <f>SUMIF('OHB NEW'!$Y:$Y,'Price Table 8 OHB'!$A78,'OHB NEW'!AD:AD)</f>
        <v>0</v>
      </c>
      <c r="L78" s="123">
        <f>SUMIF('OHB NEW'!$Y:$Y,'Price Table 8 OHB'!$A78,'OHB NEW'!AE:AE)</f>
        <v>0</v>
      </c>
      <c r="M78" s="123">
        <f>SUMIF('OHB NEW'!$Y:$Y,'Price Table 8 OHB'!$A78,'OHB NEW'!AF:AF)</f>
        <v>0</v>
      </c>
      <c r="N78" s="123">
        <f>SUMIF('OHB NEW'!$Y:$Y,'Price Table 8 OHB'!$A78,'OHB NEW'!AG:AG)</f>
        <v>0</v>
      </c>
      <c r="O78" s="123">
        <f>SUMIF('OHB NEW'!$Y:$Y,'Price Table 8 OHB'!$A78,'OHB NEW'!AH:AH)</f>
        <v>0</v>
      </c>
      <c r="P78" s="123">
        <f>SUMIF('OHB NEW'!$Y:$Y,'Price Table 8 OHB'!$A78,'OHB NEW'!AI:AI)</f>
        <v>0</v>
      </c>
      <c r="Q78" s="123">
        <f>SUMIF('OHB NEW'!$Y:$Y,'Price Table 8 OHB'!$A78,'OHB NEW'!AJ:AJ)</f>
        <v>0</v>
      </c>
      <c r="R78" s="123">
        <f>SUMIF('OHB NEW'!$Y:$Y,'Price Table 8 OHB'!$A78,'OHB NEW'!AK:AK)</f>
        <v>0</v>
      </c>
      <c r="S78" s="123">
        <f>SUMIF('OHB NEW'!$Y:$Y,'Price Table 8 OHB'!$A78,'OHB NEW'!AL:AL)</f>
        <v>0</v>
      </c>
      <c r="T78" s="123">
        <f>SUMIF('OHB NEW'!$Y:$Y,'Price Table 8 OHB'!$A78,'OHB NEW'!AM:AM)</f>
        <v>0</v>
      </c>
      <c r="U78" s="123">
        <f>SUMIF('OHB NEW'!$Y:$Y,'Price Table 8 OHB'!$A78,'OHB NEW'!AN:AN)</f>
        <v>0</v>
      </c>
      <c r="V78" s="123">
        <f>SUMIF('OHB NEW'!$Y:$Y,'Price Table 8 OHB'!$A78,'OHB NEW'!AO:AO)</f>
        <v>0</v>
      </c>
      <c r="W78" s="123">
        <f>SUMIF('OHB NEW'!$Y:$Y,'Price Table 8 OHB'!$A78,'OHB NEW'!AP:AP)</f>
        <v>0</v>
      </c>
      <c r="X78" s="123">
        <f>SUMIF('OHB NEW'!$Y:$Y,'Price Table 8 OHB'!$A78,'OHB NEW'!AQ:AQ)</f>
        <v>0</v>
      </c>
      <c r="Y78" s="123">
        <f>SUMIF('OHB NEW'!$Y:$Y,'Price Table 8 OHB'!$A78,'OHB NEW'!AR:AR)</f>
        <v>0</v>
      </c>
      <c r="Z78" s="123">
        <f>SUMIF('OHB NEW'!$Y:$Y,'Price Table 8 OHB'!$A78,'OHB NEW'!AS:AS)</f>
        <v>0</v>
      </c>
      <c r="AA78" s="123">
        <f>SUMIF('OHB NEW'!$Y:$Y,'Price Table 8 OHB'!$A78,'OHB NEW'!AT:AT)</f>
        <v>0</v>
      </c>
      <c r="AB78" s="123">
        <f>SUMIF('OHB NEW'!$Y:$Y,'Price Table 8 OHB'!$A78,'OHB NEW'!AU:AU)</f>
        <v>0</v>
      </c>
      <c r="AC78" s="123">
        <f>SUMIF('OHB NEW'!$Y:$Y,'Price Table 8 OHB'!$A78,'OHB NEW'!AV:AV)</f>
        <v>397.5</v>
      </c>
      <c r="AD78" s="123">
        <f>SUMIF('OHB NEW'!$Y:$Y,'Price Table 8 OHB'!$A78,'OHB NEW'!AW:AW)</f>
        <v>177.5</v>
      </c>
      <c r="AE78" s="123">
        <f>SUMIF('OHB NEW'!$Y:$Y,'Price Table 8 OHB'!$A78,'OHB NEW'!AX:AX)</f>
        <v>0</v>
      </c>
      <c r="AF78" s="123">
        <f>SUMIF('OHB NEW'!$Y:$Y,'Price Table 8 OHB'!$A78,'OHB NEW'!AY:AY)</f>
        <v>0</v>
      </c>
      <c r="AG78" s="123">
        <f>SUMIF('OHB NEW'!$Y:$Y,'Price Table 8 OHB'!$A78,'OHB NEW'!AZ:AZ)</f>
        <v>0</v>
      </c>
      <c r="AH78" s="115">
        <f t="shared" si="0"/>
        <v>575</v>
      </c>
      <c r="AI78" s="115">
        <f>SUMIF('OHB OLD'!$C:$C,'Price Table 8 OHB'!$A78,'OHB OLD'!AE:AE)</f>
        <v>575</v>
      </c>
      <c r="AJ78" s="115"/>
    </row>
    <row r="79" spans="1:36">
      <c r="A79" t="s">
        <v>633</v>
      </c>
      <c r="B79" s="25" t="s">
        <v>465</v>
      </c>
      <c r="C79" s="26"/>
      <c r="D79" s="27"/>
      <c r="H79"/>
      <c r="J79" s="123">
        <f>J81*0.1</f>
        <v>8.7835143477763804</v>
      </c>
      <c r="K79" s="123">
        <f t="shared" ref="K79:AG79" si="1">K81*0.1</f>
        <v>24.039205822948826</v>
      </c>
      <c r="L79" s="123">
        <f t="shared" si="1"/>
        <v>42.756830913456042</v>
      </c>
      <c r="M79" s="123">
        <f t="shared" si="1"/>
        <v>51.686845013528448</v>
      </c>
      <c r="N79" s="123">
        <f t="shared" si="1"/>
        <v>70.48814855569529</v>
      </c>
      <c r="O79" s="123">
        <f t="shared" si="1"/>
        <v>88.15884517548875</v>
      </c>
      <c r="P79" s="123">
        <f t="shared" si="1"/>
        <v>140.38870145954806</v>
      </c>
      <c r="Q79" s="123">
        <f t="shared" si="1"/>
        <v>156.08611962196565</v>
      </c>
      <c r="R79" s="123">
        <f t="shared" si="1"/>
        <v>164.107508526733</v>
      </c>
      <c r="S79" s="123">
        <f t="shared" si="1"/>
        <v>183.35398236538242</v>
      </c>
      <c r="T79" s="123">
        <f t="shared" si="1"/>
        <v>123.53985099653212</v>
      </c>
      <c r="U79" s="123">
        <f t="shared" si="1"/>
        <v>48.019761442018222</v>
      </c>
      <c r="V79" s="123">
        <f t="shared" si="1"/>
        <v>28.756494290105817</v>
      </c>
      <c r="W79" s="123">
        <f t="shared" si="1"/>
        <v>69.961393112559236</v>
      </c>
      <c r="X79" s="123">
        <f t="shared" si="1"/>
        <v>47.168429810855791</v>
      </c>
      <c r="Y79" s="123">
        <f t="shared" si="1"/>
        <v>33.182338071465772</v>
      </c>
      <c r="Z79" s="123">
        <f t="shared" si="1"/>
        <v>33.182338071465772</v>
      </c>
      <c r="AA79" s="123">
        <f t="shared" si="1"/>
        <v>25.56717160169201</v>
      </c>
      <c r="AB79" s="123">
        <f t="shared" si="1"/>
        <v>43.145670896688387</v>
      </c>
      <c r="AC79" s="123">
        <f t="shared" si="1"/>
        <v>77.946492130635264</v>
      </c>
      <c r="AD79" s="123">
        <f t="shared" si="1"/>
        <v>44.740598681452695</v>
      </c>
      <c r="AE79" s="123">
        <f t="shared" si="1"/>
        <v>38.586454403414507</v>
      </c>
      <c r="AF79" s="123">
        <f t="shared" si="1"/>
        <v>37.315355741015971</v>
      </c>
      <c r="AG79" s="123">
        <f t="shared" si="1"/>
        <v>36.634392109040562</v>
      </c>
      <c r="AH79" s="115">
        <f t="shared" ref="AH79" si="2">SUM(J79:AG79)</f>
        <v>1617.5964431614652</v>
      </c>
      <c r="AI79" s="115">
        <f>'OHB OLD'!AF336-'OHB OLD'!AF335</f>
        <v>1617.5964431614648</v>
      </c>
      <c r="AJ79" s="115"/>
    </row>
    <row r="80" spans="1:36">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390"/>
      <c r="AJ80" s="115"/>
    </row>
    <row r="81" spans="2:36">
      <c r="B81" s="23" t="s">
        <v>634</v>
      </c>
      <c r="J81" s="115">
        <f>SUM(J14:J78)</f>
        <v>87.835143477763808</v>
      </c>
      <c r="K81" s="115">
        <f t="shared" ref="K81:AH81" si="3">SUM(K14:K78)</f>
        <v>240.39205822948824</v>
      </c>
      <c r="L81" s="115">
        <f t="shared" si="3"/>
        <v>427.56830913456042</v>
      </c>
      <c r="M81" s="115">
        <f t="shared" si="3"/>
        <v>516.86845013528443</v>
      </c>
      <c r="N81" s="115">
        <f t="shared" si="3"/>
        <v>704.88148555695284</v>
      </c>
      <c r="O81" s="115">
        <f t="shared" si="3"/>
        <v>881.58845175488739</v>
      </c>
      <c r="P81" s="115">
        <f t="shared" si="3"/>
        <v>1403.8870145954807</v>
      </c>
      <c r="Q81" s="115">
        <f t="shared" si="3"/>
        <v>1560.8611962196564</v>
      </c>
      <c r="R81" s="115">
        <f t="shared" si="3"/>
        <v>1641.0750852673298</v>
      </c>
      <c r="S81" s="115">
        <f t="shared" si="3"/>
        <v>1833.5398236538242</v>
      </c>
      <c r="T81" s="115">
        <f t="shared" si="3"/>
        <v>1235.3985099653212</v>
      </c>
      <c r="U81" s="115">
        <f t="shared" si="3"/>
        <v>480.19761442018222</v>
      </c>
      <c r="V81" s="115">
        <f t="shared" si="3"/>
        <v>287.56494290105815</v>
      </c>
      <c r="W81" s="115">
        <f t="shared" si="3"/>
        <v>699.61393112559233</v>
      </c>
      <c r="X81" s="115">
        <f t="shared" si="3"/>
        <v>471.68429810855787</v>
      </c>
      <c r="Y81" s="115">
        <f t="shared" si="3"/>
        <v>331.82338071465773</v>
      </c>
      <c r="Z81" s="115">
        <f t="shared" si="3"/>
        <v>331.82338071465773</v>
      </c>
      <c r="AA81" s="115">
        <f t="shared" si="3"/>
        <v>255.6717160169201</v>
      </c>
      <c r="AB81" s="115">
        <f t="shared" si="3"/>
        <v>431.45670896688387</v>
      </c>
      <c r="AC81" s="115">
        <f t="shared" si="3"/>
        <v>779.46492130635261</v>
      </c>
      <c r="AD81" s="115">
        <f t="shared" si="3"/>
        <v>447.4059868145269</v>
      </c>
      <c r="AE81" s="115">
        <f t="shared" si="3"/>
        <v>385.86454403414507</v>
      </c>
      <c r="AF81" s="115">
        <f t="shared" si="3"/>
        <v>373.15355741015969</v>
      </c>
      <c r="AG81" s="115">
        <f t="shared" si="3"/>
        <v>366.34392109040562</v>
      </c>
      <c r="AH81" s="627">
        <f t="shared" si="3"/>
        <v>16175.964431614648</v>
      </c>
      <c r="AI81" s="390">
        <v>16175.96443161465</v>
      </c>
      <c r="AJ81" s="115">
        <f>AI81-AH81</f>
        <v>0</v>
      </c>
    </row>
    <row r="82" spans="2:36">
      <c r="B82" s="23" t="s">
        <v>635</v>
      </c>
      <c r="J82" s="115">
        <f>SUM(J79:J81)</f>
        <v>96.618657825540183</v>
      </c>
      <c r="K82" s="115">
        <f t="shared" ref="K82:AG82" si="4">SUM(K79:K81)</f>
        <v>264.43126405243709</v>
      </c>
      <c r="L82" s="115">
        <f t="shared" si="4"/>
        <v>470.32514004801646</v>
      </c>
      <c r="M82" s="115">
        <f t="shared" si="4"/>
        <v>568.55529514881289</v>
      </c>
      <c r="N82" s="115">
        <f t="shared" si="4"/>
        <v>775.3696341126481</v>
      </c>
      <c r="O82" s="115">
        <f t="shared" si="4"/>
        <v>969.74729693037614</v>
      </c>
      <c r="P82" s="115">
        <f t="shared" si="4"/>
        <v>1544.2757160550286</v>
      </c>
      <c r="Q82" s="115">
        <f t="shared" si="4"/>
        <v>1716.9473158416222</v>
      </c>
      <c r="R82" s="115">
        <f t="shared" si="4"/>
        <v>1805.1825937940628</v>
      </c>
      <c r="S82" s="115">
        <f t="shared" si="4"/>
        <v>2016.8938060192067</v>
      </c>
      <c r="T82" s="115">
        <f t="shared" si="4"/>
        <v>1358.9383609618533</v>
      </c>
      <c r="U82" s="115">
        <f t="shared" si="4"/>
        <v>528.21737586220047</v>
      </c>
      <c r="V82" s="115">
        <f t="shared" si="4"/>
        <v>316.32143719116397</v>
      </c>
      <c r="W82" s="115">
        <f t="shared" si="4"/>
        <v>769.57532423815155</v>
      </c>
      <c r="X82" s="115">
        <f t="shared" si="4"/>
        <v>518.85272791941361</v>
      </c>
      <c r="Y82" s="115">
        <f t="shared" si="4"/>
        <v>365.00571878612351</v>
      </c>
      <c r="Z82" s="115">
        <f t="shared" si="4"/>
        <v>365.00571878612351</v>
      </c>
      <c r="AA82" s="115">
        <f t="shared" si="4"/>
        <v>281.23888761861213</v>
      </c>
      <c r="AB82" s="115">
        <f t="shared" si="4"/>
        <v>474.60237986357225</v>
      </c>
      <c r="AC82" s="115">
        <f t="shared" si="4"/>
        <v>857.41141343698791</v>
      </c>
      <c r="AD82" s="115">
        <f t="shared" si="4"/>
        <v>492.14658549597959</v>
      </c>
      <c r="AE82" s="115">
        <f t="shared" si="4"/>
        <v>424.45099843755958</v>
      </c>
      <c r="AF82" s="115">
        <f t="shared" si="4"/>
        <v>410.46891315117568</v>
      </c>
      <c r="AG82" s="115">
        <f t="shared" si="4"/>
        <v>402.97831319944618</v>
      </c>
      <c r="AH82" s="627">
        <f t="shared" ref="AH82" si="5">SUM(J82:AG82)</f>
        <v>17793.560874776114</v>
      </c>
      <c r="AI82" s="390">
        <v>17793.560874776114</v>
      </c>
      <c r="AJ82" s="115"/>
    </row>
    <row r="83" spans="2:36" ht="15.75" thickBot="1">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row>
    <row r="84" spans="2:36">
      <c r="E84" s="256" t="s">
        <v>12</v>
      </c>
      <c r="F84" s="257" t="s">
        <v>13</v>
      </c>
      <c r="G84" s="257" t="str">
        <f>CONCATENATE(E84,F84)</f>
        <v>MGTManpower</v>
      </c>
      <c r="H84" s="257"/>
      <c r="I84" s="274"/>
      <c r="J84" s="268">
        <f>SUMIF($G$14:$G$79,$G84,J$14:J$79)</f>
        <v>13.095232651194696</v>
      </c>
      <c r="K84" s="258">
        <f t="shared" ref="K84:AH88" si="6">SUMIF($G$14:$G$79,$G84,K$14:K$79)</f>
        <v>19.642848976792045</v>
      </c>
      <c r="L84" s="258">
        <f t="shared" si="6"/>
        <v>53.353149651309018</v>
      </c>
      <c r="M84" s="258">
        <f t="shared" si="6"/>
        <v>136.38380778171563</v>
      </c>
      <c r="N84" s="258">
        <f t="shared" si="6"/>
        <v>110.42195419381883</v>
      </c>
      <c r="O84" s="258">
        <f t="shared" si="6"/>
        <v>110.42195419381883</v>
      </c>
      <c r="P84" s="258">
        <f t="shared" si="6"/>
        <v>110.42195419381883</v>
      </c>
      <c r="Q84" s="258">
        <f t="shared" si="6"/>
        <v>110.42195419381883</v>
      </c>
      <c r="R84" s="258">
        <f t="shared" si="6"/>
        <v>115.42195419381883</v>
      </c>
      <c r="S84" s="258">
        <f t="shared" si="6"/>
        <v>115.42195419381883</v>
      </c>
      <c r="T84" s="258">
        <f t="shared" si="6"/>
        <v>107.92195419381883</v>
      </c>
      <c r="U84" s="258">
        <f t="shared" si="6"/>
        <v>107.92195419381883</v>
      </c>
      <c r="V84" s="258">
        <f t="shared" si="6"/>
        <v>111.90808277123585</v>
      </c>
      <c r="W84" s="258">
        <f t="shared" si="6"/>
        <v>111.90808277123585</v>
      </c>
      <c r="X84" s="258">
        <f t="shared" si="6"/>
        <v>108.40808277123585</v>
      </c>
      <c r="Y84" s="258">
        <f t="shared" si="6"/>
        <v>108.40808277123585</v>
      </c>
      <c r="Z84" s="258">
        <f t="shared" si="6"/>
        <v>108.40808277123585</v>
      </c>
      <c r="AA84" s="258">
        <f t="shared" si="6"/>
        <v>108.40808277123585</v>
      </c>
      <c r="AB84" s="258">
        <f t="shared" si="6"/>
        <v>109.90288098776723</v>
      </c>
      <c r="AC84" s="258">
        <f t="shared" si="6"/>
        <v>109.90288098776723</v>
      </c>
      <c r="AD84" s="258">
        <f t="shared" si="6"/>
        <v>77.65229983613429</v>
      </c>
      <c r="AE84" s="258">
        <f t="shared" si="6"/>
        <v>36.545348881521285</v>
      </c>
      <c r="AF84" s="258">
        <f t="shared" si="6"/>
        <v>23.834362257535922</v>
      </c>
      <c r="AG84" s="259">
        <f t="shared" si="6"/>
        <v>23.834362257535922</v>
      </c>
      <c r="AH84" s="271">
        <f t="shared" si="6"/>
        <v>2149.9713044472392</v>
      </c>
      <c r="AI84" s="115"/>
      <c r="AJ84" s="115"/>
    </row>
    <row r="85" spans="2:36">
      <c r="E85" s="260" t="s">
        <v>14</v>
      </c>
      <c r="F85" s="36" t="s">
        <v>13</v>
      </c>
      <c r="G85" s="36" t="str">
        <f>CONCATENATE(E85,F85)</f>
        <v>MISSIONManpower</v>
      </c>
      <c r="I85" s="275"/>
      <c r="J85" s="269">
        <f t="shared" ref="J85:Y88" si="7">SUMIF($G$14:$G$79,$G85,J$14:J$79)</f>
        <v>74.739910826569115</v>
      </c>
      <c r="K85" s="261">
        <f t="shared" si="7"/>
        <v>220.74920925269618</v>
      </c>
      <c r="L85" s="261">
        <f t="shared" si="7"/>
        <v>374.21515948325145</v>
      </c>
      <c r="M85" s="261">
        <f t="shared" si="7"/>
        <v>380.48464235356886</v>
      </c>
      <c r="N85" s="261">
        <f t="shared" si="7"/>
        <v>439.39703136313403</v>
      </c>
      <c r="O85" s="261">
        <f t="shared" si="7"/>
        <v>521.10399756106858</v>
      </c>
      <c r="P85" s="261">
        <f t="shared" si="7"/>
        <v>694.99885675088603</v>
      </c>
      <c r="Q85" s="261">
        <f t="shared" si="7"/>
        <v>599.47303837506195</v>
      </c>
      <c r="R85" s="261">
        <f t="shared" si="7"/>
        <v>493.84063107351096</v>
      </c>
      <c r="S85" s="261">
        <f t="shared" si="7"/>
        <v>489.60536946000531</v>
      </c>
      <c r="T85" s="261">
        <f t="shared" si="7"/>
        <v>406.67655577150265</v>
      </c>
      <c r="U85" s="261">
        <f t="shared" si="7"/>
        <v>154.67566022636336</v>
      </c>
      <c r="V85" s="261">
        <f t="shared" si="7"/>
        <v>165.65686012982229</v>
      </c>
      <c r="W85" s="261">
        <f t="shared" si="7"/>
        <v>469.70584835435642</v>
      </c>
      <c r="X85" s="261">
        <f t="shared" si="7"/>
        <v>363.27621533732201</v>
      </c>
      <c r="Y85" s="261">
        <f t="shared" si="7"/>
        <v>223.4152979434219</v>
      </c>
      <c r="Z85" s="261">
        <f t="shared" si="6"/>
        <v>223.4152979434219</v>
      </c>
      <c r="AA85" s="261">
        <f t="shared" si="6"/>
        <v>147.26363324568425</v>
      </c>
      <c r="AB85" s="261">
        <f t="shared" si="6"/>
        <v>321.55382797911665</v>
      </c>
      <c r="AC85" s="261">
        <f t="shared" si="6"/>
        <v>272.06204031858545</v>
      </c>
      <c r="AD85" s="261">
        <f t="shared" si="6"/>
        <v>192.25368697839258</v>
      </c>
      <c r="AE85" s="261">
        <f t="shared" si="6"/>
        <v>349.31919515262376</v>
      </c>
      <c r="AF85" s="261">
        <f t="shared" si="6"/>
        <v>349.31919515262376</v>
      </c>
      <c r="AG85" s="262">
        <f t="shared" si="6"/>
        <v>342.50955883286969</v>
      </c>
      <c r="AH85" s="272">
        <f t="shared" si="6"/>
        <v>8269.7107198658596</v>
      </c>
      <c r="AI85" s="115"/>
      <c r="AJ85" s="115"/>
    </row>
    <row r="86" spans="2:36" ht="15.75" thickBot="1">
      <c r="E86" s="263" t="s">
        <v>139</v>
      </c>
      <c r="F86" s="264" t="s">
        <v>13</v>
      </c>
      <c r="G86" s="264" t="str">
        <f>CONCATENATE(E86,F86)</f>
        <v>TECHManpower</v>
      </c>
      <c r="H86" s="264"/>
      <c r="I86" s="276"/>
      <c r="J86" s="270">
        <f t="shared" si="7"/>
        <v>0</v>
      </c>
      <c r="K86" s="266">
        <f t="shared" si="6"/>
        <v>0</v>
      </c>
      <c r="L86" s="266">
        <f t="shared" si="6"/>
        <v>0</v>
      </c>
      <c r="M86" s="266">
        <f t="shared" si="6"/>
        <v>0</v>
      </c>
      <c r="N86" s="266">
        <f t="shared" si="6"/>
        <v>0</v>
      </c>
      <c r="O86" s="266">
        <f t="shared" si="6"/>
        <v>0</v>
      </c>
      <c r="P86" s="266">
        <f t="shared" si="6"/>
        <v>52.816203650775506</v>
      </c>
      <c r="Q86" s="266">
        <f t="shared" si="6"/>
        <v>52.816203650775506</v>
      </c>
      <c r="R86" s="266">
        <f t="shared" si="6"/>
        <v>0</v>
      </c>
      <c r="S86" s="266">
        <f t="shared" si="6"/>
        <v>0</v>
      </c>
      <c r="T86" s="266">
        <f t="shared" si="6"/>
        <v>0</v>
      </c>
      <c r="U86" s="266">
        <f t="shared" si="6"/>
        <v>0</v>
      </c>
      <c r="V86" s="266">
        <f t="shared" si="6"/>
        <v>0</v>
      </c>
      <c r="W86" s="266">
        <f t="shared" si="6"/>
        <v>0</v>
      </c>
      <c r="X86" s="266">
        <f t="shared" si="6"/>
        <v>0</v>
      </c>
      <c r="Y86" s="266">
        <f t="shared" si="6"/>
        <v>0</v>
      </c>
      <c r="Z86" s="266">
        <f t="shared" si="6"/>
        <v>0</v>
      </c>
      <c r="AA86" s="266">
        <f t="shared" si="6"/>
        <v>0</v>
      </c>
      <c r="AB86" s="266">
        <f t="shared" si="6"/>
        <v>0</v>
      </c>
      <c r="AC86" s="266">
        <f t="shared" si="6"/>
        <v>0</v>
      </c>
      <c r="AD86" s="266">
        <f t="shared" si="6"/>
        <v>0</v>
      </c>
      <c r="AE86" s="266">
        <f t="shared" si="6"/>
        <v>0</v>
      </c>
      <c r="AF86" s="266">
        <f t="shared" si="6"/>
        <v>0</v>
      </c>
      <c r="AG86" s="267">
        <f t="shared" si="6"/>
        <v>0</v>
      </c>
      <c r="AH86" s="273">
        <f t="shared" si="6"/>
        <v>105.63240730155101</v>
      </c>
      <c r="AI86" s="115"/>
      <c r="AJ86" s="115"/>
    </row>
    <row r="87" spans="2:36">
      <c r="E87" s="260" t="s">
        <v>14</v>
      </c>
      <c r="F87" s="37" t="s">
        <v>117</v>
      </c>
      <c r="G87" s="36" t="str">
        <f>CONCATENATE(E87,F87)</f>
        <v>MISSIONProcurement</v>
      </c>
      <c r="H87" s="37"/>
      <c r="J87" s="269">
        <f t="shared" si="7"/>
        <v>0</v>
      </c>
      <c r="K87" s="261">
        <f t="shared" si="6"/>
        <v>0</v>
      </c>
      <c r="L87" s="261">
        <f t="shared" si="6"/>
        <v>0</v>
      </c>
      <c r="M87" s="261">
        <f t="shared" si="6"/>
        <v>0</v>
      </c>
      <c r="N87" s="261">
        <f t="shared" si="6"/>
        <v>155.0625</v>
      </c>
      <c r="O87" s="261">
        <f t="shared" si="6"/>
        <v>250.0625</v>
      </c>
      <c r="P87" s="261">
        <f t="shared" si="6"/>
        <v>511.375</v>
      </c>
      <c r="Q87" s="261">
        <f t="shared" si="6"/>
        <v>763.875</v>
      </c>
      <c r="R87" s="261">
        <f t="shared" si="6"/>
        <v>1031.8125</v>
      </c>
      <c r="S87" s="261">
        <f t="shared" si="6"/>
        <v>1228.5125</v>
      </c>
      <c r="T87" s="261">
        <f t="shared" si="6"/>
        <v>720.8</v>
      </c>
      <c r="U87" s="261">
        <f t="shared" si="6"/>
        <v>217.60000000000002</v>
      </c>
      <c r="V87" s="261">
        <f t="shared" si="6"/>
        <v>10</v>
      </c>
      <c r="W87" s="261">
        <f t="shared" si="6"/>
        <v>118</v>
      </c>
      <c r="X87" s="261">
        <f t="shared" si="6"/>
        <v>0</v>
      </c>
      <c r="Y87" s="261">
        <f t="shared" si="6"/>
        <v>0</v>
      </c>
      <c r="Z87" s="261">
        <f t="shared" si="6"/>
        <v>0</v>
      </c>
      <c r="AA87" s="261">
        <f t="shared" si="6"/>
        <v>0</v>
      </c>
      <c r="AB87" s="261">
        <f t="shared" si="6"/>
        <v>0</v>
      </c>
      <c r="AC87" s="261">
        <f t="shared" si="6"/>
        <v>397.5</v>
      </c>
      <c r="AD87" s="261">
        <f t="shared" si="6"/>
        <v>177.5</v>
      </c>
      <c r="AE87" s="261">
        <f t="shared" si="6"/>
        <v>0</v>
      </c>
      <c r="AF87" s="261">
        <f t="shared" si="6"/>
        <v>0</v>
      </c>
      <c r="AG87" s="262">
        <f t="shared" si="6"/>
        <v>0</v>
      </c>
      <c r="AH87" s="262">
        <f t="shared" si="6"/>
        <v>5582.1</v>
      </c>
      <c r="AI87" s="115"/>
      <c r="AJ87" s="115"/>
    </row>
    <row r="88" spans="2:36" ht="15.75" thickBot="1">
      <c r="E88" s="263" t="s">
        <v>139</v>
      </c>
      <c r="F88" s="264" t="s">
        <v>117</v>
      </c>
      <c r="G88" s="264" t="str">
        <f>CONCATENATE(E88,F88)</f>
        <v>TECHProcurement</v>
      </c>
      <c r="H88" s="264"/>
      <c r="I88" s="265"/>
      <c r="J88" s="270">
        <f t="shared" si="7"/>
        <v>0</v>
      </c>
      <c r="K88" s="266">
        <f t="shared" si="6"/>
        <v>0</v>
      </c>
      <c r="L88" s="266">
        <f t="shared" si="6"/>
        <v>0</v>
      </c>
      <c r="M88" s="266">
        <f t="shared" si="6"/>
        <v>0</v>
      </c>
      <c r="N88" s="266">
        <f t="shared" si="6"/>
        <v>0</v>
      </c>
      <c r="O88" s="266">
        <f t="shared" si="6"/>
        <v>0</v>
      </c>
      <c r="P88" s="266">
        <f t="shared" si="6"/>
        <v>34.274999999999999</v>
      </c>
      <c r="Q88" s="266">
        <f t="shared" si="6"/>
        <v>34.274999999999999</v>
      </c>
      <c r="R88" s="266">
        <f t="shared" si="6"/>
        <v>0</v>
      </c>
      <c r="S88" s="266">
        <f t="shared" si="6"/>
        <v>0</v>
      </c>
      <c r="T88" s="266">
        <f t="shared" si="6"/>
        <v>0</v>
      </c>
      <c r="U88" s="266">
        <f t="shared" si="6"/>
        <v>0</v>
      </c>
      <c r="V88" s="266">
        <f t="shared" si="6"/>
        <v>0</v>
      </c>
      <c r="W88" s="266">
        <f t="shared" si="6"/>
        <v>0</v>
      </c>
      <c r="X88" s="266">
        <f t="shared" si="6"/>
        <v>0</v>
      </c>
      <c r="Y88" s="266">
        <f t="shared" si="6"/>
        <v>0</v>
      </c>
      <c r="Z88" s="266">
        <f t="shared" si="6"/>
        <v>0</v>
      </c>
      <c r="AA88" s="266">
        <f t="shared" si="6"/>
        <v>0</v>
      </c>
      <c r="AB88" s="266">
        <f t="shared" si="6"/>
        <v>0</v>
      </c>
      <c r="AC88" s="266">
        <f t="shared" si="6"/>
        <v>0</v>
      </c>
      <c r="AD88" s="266">
        <f t="shared" si="6"/>
        <v>0</v>
      </c>
      <c r="AE88" s="266">
        <f t="shared" si="6"/>
        <v>0</v>
      </c>
      <c r="AF88" s="266">
        <f t="shared" si="6"/>
        <v>0</v>
      </c>
      <c r="AG88" s="267">
        <f t="shared" si="6"/>
        <v>0</v>
      </c>
      <c r="AH88" s="267">
        <f t="shared" si="6"/>
        <v>68.55</v>
      </c>
      <c r="AI88" s="115"/>
      <c r="AJ88" s="115"/>
    </row>
    <row r="89" spans="2:36">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c r="AJ89" s="115"/>
    </row>
    <row r="90" spans="2:36">
      <c r="J90" s="115">
        <f t="shared" ref="J90:AH90" si="8">SUM(J84:J88)</f>
        <v>87.835143477763808</v>
      </c>
      <c r="K90" s="115">
        <f t="shared" si="8"/>
        <v>240.39205822948821</v>
      </c>
      <c r="L90" s="115">
        <f t="shared" si="8"/>
        <v>427.56830913456048</v>
      </c>
      <c r="M90" s="115">
        <f t="shared" si="8"/>
        <v>516.86845013528455</v>
      </c>
      <c r="N90" s="115">
        <f t="shared" si="8"/>
        <v>704.88148555695284</v>
      </c>
      <c r="O90" s="115">
        <f t="shared" si="8"/>
        <v>881.58845175488739</v>
      </c>
      <c r="P90" s="115">
        <f t="shared" si="8"/>
        <v>1403.8870145954804</v>
      </c>
      <c r="Q90" s="115">
        <f t="shared" si="8"/>
        <v>1560.8611962196564</v>
      </c>
      <c r="R90" s="115">
        <f t="shared" si="8"/>
        <v>1641.0750852673298</v>
      </c>
      <c r="S90" s="115">
        <f t="shared" si="8"/>
        <v>1833.5398236538242</v>
      </c>
      <c r="T90" s="115">
        <f t="shared" si="8"/>
        <v>1235.3985099653214</v>
      </c>
      <c r="U90" s="115">
        <f t="shared" si="8"/>
        <v>480.19761442018222</v>
      </c>
      <c r="V90" s="115">
        <f t="shared" si="8"/>
        <v>287.56494290105815</v>
      </c>
      <c r="W90" s="115">
        <f t="shared" si="8"/>
        <v>699.61393112559222</v>
      </c>
      <c r="X90" s="115">
        <f t="shared" si="8"/>
        <v>471.68429810855787</v>
      </c>
      <c r="Y90" s="115">
        <f t="shared" si="8"/>
        <v>331.82338071465779</v>
      </c>
      <c r="Z90" s="115">
        <f t="shared" si="8"/>
        <v>331.82338071465779</v>
      </c>
      <c r="AA90" s="115">
        <f t="shared" si="8"/>
        <v>255.6717160169201</v>
      </c>
      <c r="AB90" s="115">
        <f t="shared" si="8"/>
        <v>431.45670896688387</v>
      </c>
      <c r="AC90" s="115">
        <f t="shared" si="8"/>
        <v>779.46492130635261</v>
      </c>
      <c r="AD90" s="115">
        <f t="shared" si="8"/>
        <v>447.40598681452684</v>
      </c>
      <c r="AE90" s="115">
        <f t="shared" si="8"/>
        <v>385.86454403414507</v>
      </c>
      <c r="AF90" s="115">
        <f t="shared" si="8"/>
        <v>373.15355741015969</v>
      </c>
      <c r="AG90" s="115">
        <f t="shared" si="8"/>
        <v>366.34392109040562</v>
      </c>
      <c r="AH90" s="115">
        <f t="shared" si="8"/>
        <v>16175.96443161465</v>
      </c>
      <c r="AI90" s="115"/>
      <c r="AJ90" s="115"/>
    </row>
    <row r="91" spans="2:36">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390"/>
      <c r="AJ91" s="115"/>
    </row>
    <row r="92" spans="2:36">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390"/>
      <c r="AJ92" s="115"/>
    </row>
    <row r="93" spans="2:36">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390"/>
      <c r="AJ93" s="115"/>
    </row>
    <row r="94" spans="2:36">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390"/>
      <c r="AJ94" s="115"/>
    </row>
    <row r="95" spans="2:36">
      <c r="J95" s="115"/>
      <c r="K95" s="115"/>
      <c r="L95" s="115"/>
      <c r="M95" s="115"/>
      <c r="N95" s="115"/>
      <c r="O95" s="115"/>
      <c r="P95" s="115"/>
      <c r="Q95" s="115"/>
      <c r="R95" s="115"/>
      <c r="S95" s="115"/>
      <c r="T95" s="115"/>
      <c r="U95" s="115"/>
      <c r="V95" s="115"/>
      <c r="W95" s="115"/>
      <c r="X95" s="115"/>
      <c r="Y95" s="115"/>
      <c r="Z95" s="115"/>
      <c r="AA95" s="115"/>
      <c r="AB95" s="115"/>
      <c r="AC95" s="115"/>
      <c r="AD95" s="115"/>
      <c r="AE95" s="115"/>
      <c r="AF95" s="115"/>
      <c r="AG95" s="115"/>
      <c r="AH95" s="115"/>
      <c r="AI95" s="390"/>
      <c r="AJ95" s="115"/>
    </row>
    <row r="96" spans="2:36">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390"/>
      <c r="AJ96" s="115"/>
    </row>
    <row r="97" spans="10:36">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c r="AG97" s="115"/>
      <c r="AH97" s="115"/>
      <c r="AI97" s="390"/>
      <c r="AJ97" s="115"/>
    </row>
    <row r="98" spans="10:36">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c r="AH98" s="115"/>
      <c r="AI98" s="390"/>
      <c r="AJ98" s="115"/>
    </row>
  </sheetData>
  <pageMargins left="0.7" right="0.7"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7" tint="0.59999389629810485"/>
  </sheetPr>
  <dimension ref="A1:AM98"/>
  <sheetViews>
    <sheetView topLeftCell="A64" workbookViewId="0">
      <selection activeCell="AD80" sqref="AD80"/>
    </sheetView>
  </sheetViews>
  <sheetFormatPr defaultColWidth="8.85546875" defaultRowHeight="15" outlineLevelCol="1"/>
  <cols>
    <col min="1" max="1" width="6.28515625" customWidth="1"/>
    <col min="2" max="2" width="20.42578125" customWidth="1"/>
    <col min="4" max="4" width="25.7109375" customWidth="1"/>
    <col min="5" max="5" width="8.85546875" style="36"/>
    <col min="6" max="6" width="12.42578125" style="36" bestFit="1" customWidth="1"/>
    <col min="7" max="7" width="12.42578125" style="36" customWidth="1" outlineLevel="1"/>
    <col min="8" max="8" width="15.85546875" style="36" customWidth="1" outlineLevel="1"/>
    <col min="9" max="9" width="12.42578125" customWidth="1" outlineLevel="1"/>
    <col min="10" max="17" width="9" customWidth="1"/>
    <col min="18" max="18" width="8.28515625" customWidth="1"/>
    <col min="19" max="19" width="9.7109375" customWidth="1"/>
    <col min="20" max="22" width="9" customWidth="1"/>
    <col min="23" max="23" width="9.7109375" customWidth="1"/>
    <col min="24" max="25" width="9" customWidth="1"/>
    <col min="26" max="26" width="6.85546875" customWidth="1"/>
    <col min="27" max="33" width="9" customWidth="1"/>
    <col min="34" max="34" width="9.7109375" style="124" bestFit="1" customWidth="1"/>
  </cols>
  <sheetData>
    <row r="1" spans="1:34" ht="18.75">
      <c r="A1" s="1" t="s">
        <v>528</v>
      </c>
    </row>
    <row r="5" spans="1:34">
      <c r="B5" s="4" t="s">
        <v>529</v>
      </c>
    </row>
    <row r="6" spans="1:34">
      <c r="B6" s="6" t="s">
        <v>530</v>
      </c>
      <c r="C6" s="7">
        <v>2019</v>
      </c>
    </row>
    <row r="7" spans="1:34">
      <c r="B7" s="6" t="s">
        <v>531</v>
      </c>
      <c r="C7" s="125" t="s">
        <v>532</v>
      </c>
      <c r="D7" s="17"/>
    </row>
    <row r="8" spans="1:34">
      <c r="I8" t="s">
        <v>533</v>
      </c>
      <c r="J8" s="132">
        <v>2020</v>
      </c>
      <c r="K8" s="133"/>
      <c r="L8" s="133"/>
      <c r="M8" s="134"/>
      <c r="N8" s="135">
        <v>2021</v>
      </c>
      <c r="O8" s="136"/>
      <c r="P8" s="136"/>
      <c r="Q8" s="137"/>
      <c r="R8" s="132">
        <v>2022</v>
      </c>
      <c r="S8" s="133"/>
      <c r="T8" s="133"/>
      <c r="U8" s="134"/>
      <c r="V8" s="136">
        <v>2023</v>
      </c>
      <c r="W8" s="136"/>
      <c r="X8" s="136"/>
      <c r="Y8" s="136"/>
      <c r="Z8" s="132">
        <v>2024</v>
      </c>
      <c r="AA8" s="133"/>
      <c r="AB8" s="133"/>
      <c r="AC8" s="134"/>
      <c r="AD8" s="135">
        <v>2025</v>
      </c>
      <c r="AE8" s="136"/>
      <c r="AF8" s="136"/>
      <c r="AG8" s="137"/>
    </row>
    <row r="9" spans="1:34">
      <c r="I9" t="s">
        <v>547</v>
      </c>
      <c r="J9" s="138" t="s">
        <v>548</v>
      </c>
      <c r="K9" s="139" t="s">
        <v>549</v>
      </c>
      <c r="L9" s="139" t="s">
        <v>550</v>
      </c>
      <c r="M9" s="140" t="s">
        <v>551</v>
      </c>
      <c r="N9" s="138" t="s">
        <v>548</v>
      </c>
      <c r="O9" s="139" t="s">
        <v>549</v>
      </c>
      <c r="P9" s="139" t="s">
        <v>550</v>
      </c>
      <c r="Q9" s="140" t="s">
        <v>551</v>
      </c>
      <c r="R9" s="138" t="s">
        <v>548</v>
      </c>
      <c r="S9" s="139" t="s">
        <v>549</v>
      </c>
      <c r="T9" s="139" t="s">
        <v>550</v>
      </c>
      <c r="U9" s="140" t="s">
        <v>551</v>
      </c>
      <c r="V9" t="s">
        <v>548</v>
      </c>
      <c r="W9" t="s">
        <v>549</v>
      </c>
      <c r="X9" t="s">
        <v>550</v>
      </c>
      <c r="Y9" t="s">
        <v>551</v>
      </c>
      <c r="Z9" s="138" t="s">
        <v>548</v>
      </c>
      <c r="AA9" s="139" t="s">
        <v>549</v>
      </c>
      <c r="AB9" s="139" t="s">
        <v>550</v>
      </c>
      <c r="AC9" s="140" t="s">
        <v>551</v>
      </c>
      <c r="AD9" s="138" t="s">
        <v>548</v>
      </c>
      <c r="AE9" s="139" t="s">
        <v>549</v>
      </c>
      <c r="AF9" s="139" t="s">
        <v>550</v>
      </c>
      <c r="AG9" s="140" t="s">
        <v>551</v>
      </c>
    </row>
    <row r="10" spans="1:34">
      <c r="A10" t="s">
        <v>541</v>
      </c>
      <c r="B10" s="126" t="s">
        <v>542</v>
      </c>
      <c r="C10" s="127"/>
      <c r="D10" s="128"/>
      <c r="E10" s="36" t="s">
        <v>543</v>
      </c>
      <c r="F10" s="36" t="s">
        <v>544</v>
      </c>
      <c r="G10" s="36" t="s">
        <v>545</v>
      </c>
      <c r="H10" s="36" t="s">
        <v>546</v>
      </c>
      <c r="I10" t="s">
        <v>27</v>
      </c>
      <c r="J10" s="629" t="s">
        <v>536</v>
      </c>
      <c r="K10" s="630"/>
      <c r="L10" s="631"/>
      <c r="M10" s="629" t="s">
        <v>537</v>
      </c>
      <c r="N10" s="632"/>
      <c r="O10" s="632"/>
      <c r="P10" s="632"/>
      <c r="Q10" s="632"/>
      <c r="R10" s="633"/>
      <c r="S10" s="634" t="s">
        <v>538</v>
      </c>
      <c r="T10" s="632"/>
      <c r="U10" s="632"/>
      <c r="V10" s="631"/>
      <c r="W10" s="629" t="s">
        <v>539</v>
      </c>
      <c r="X10" s="630"/>
      <c r="Y10" s="630"/>
      <c r="Z10" s="630"/>
      <c r="AA10" s="630"/>
      <c r="AB10" s="630"/>
      <c r="AC10" s="630"/>
      <c r="AD10" s="631"/>
      <c r="AE10" s="629" t="s">
        <v>540</v>
      </c>
      <c r="AF10" s="630"/>
      <c r="AG10" s="631"/>
      <c r="AH10" s="124" t="e">
        <f>SUM(J14:AG80)</f>
        <v>#REF!</v>
      </c>
    </row>
    <row r="11" spans="1:34">
      <c r="B11" s="129" t="s">
        <v>552</v>
      </c>
      <c r="C11" s="130"/>
      <c r="D11" s="131"/>
      <c r="I11" t="s">
        <v>553</v>
      </c>
      <c r="J11" t="s">
        <v>554</v>
      </c>
      <c r="M11" t="s">
        <v>555</v>
      </c>
    </row>
    <row r="12" spans="1:34">
      <c r="B12" s="39" t="s">
        <v>556</v>
      </c>
      <c r="C12" s="40"/>
      <c r="D12" s="41"/>
      <c r="J12" s="8">
        <v>43862</v>
      </c>
      <c r="K12" s="8">
        <v>43922</v>
      </c>
      <c r="L12" s="8">
        <v>44012</v>
      </c>
      <c r="M12" s="8">
        <v>44227</v>
      </c>
    </row>
    <row r="13" spans="1:34">
      <c r="B13" s="42" t="s">
        <v>557</v>
      </c>
      <c r="C13" s="43"/>
      <c r="D13" s="44"/>
    </row>
    <row r="14" spans="1:34">
      <c r="A14" t="s">
        <v>32</v>
      </c>
      <c r="B14" s="42" t="s">
        <v>558</v>
      </c>
      <c r="C14" s="43"/>
      <c r="D14" s="44"/>
      <c r="E14" s="36" t="s">
        <v>12</v>
      </c>
      <c r="F14" s="36" t="s">
        <v>13</v>
      </c>
      <c r="G14" s="36" t="str">
        <f>CONCATENATE(E14,F14)</f>
        <v>MGTManpower</v>
      </c>
      <c r="H14" s="60">
        <v>110000</v>
      </c>
      <c r="J14" s="123" t="e">
        <f>'Price Table 8 CS'!J14+'Price Table 8 OHB'!J14+'Price Table 8 Airbus'!J14+'Price Table 8 RUAG'!J14+'Price Table 8 Syderal'!J14+'Price Table 8 APCO'!J14+'Price Table 8 EPFL'!J14+'Price Table 8 AIUB'!J14</f>
        <v>#REF!</v>
      </c>
      <c r="K14" s="123" t="e">
        <f>'Price Table 8 CS'!K14+'Price Table 8 OHB'!K14+'Price Table 8 Airbus'!K14+'Price Table 8 RUAG'!K14+'Price Table 8 Syderal'!K14+'Price Table 8 APCO'!K14+'Price Table 8 EPFL'!K14+'Price Table 8 AIUB'!K14</f>
        <v>#REF!</v>
      </c>
      <c r="L14" s="123" t="e">
        <f>'Price Table 8 CS'!L14+'Price Table 8 OHB'!L14+'Price Table 8 Airbus'!L14+'Price Table 8 RUAG'!L14+'Price Table 8 Syderal'!L14+'Price Table 8 APCO'!L14+'Price Table 8 EPFL'!L14+'Price Table 8 AIUB'!L14</f>
        <v>#REF!</v>
      </c>
      <c r="M14" s="123" t="e">
        <f>'Price Table 8 CS'!M14+'Price Table 8 OHB'!M14+'Price Table 8 Airbus'!M14+'Price Table 8 RUAG'!M14+'Price Table 8 Syderal'!M14+'Price Table 8 APCO'!M14+'Price Table 8 EPFL'!M14+'Price Table 8 AIUB'!M14</f>
        <v>#REF!</v>
      </c>
      <c r="N14" s="123" t="e">
        <f>'Price Table 8 CS'!N14+'Price Table 8 OHB'!N14+'Price Table 8 Airbus'!N14+'Price Table 8 RUAG'!N14+'Price Table 8 Syderal'!N14+'Price Table 8 APCO'!N14+'Price Table 8 EPFL'!N14+'Price Table 8 AIUB'!N14</f>
        <v>#REF!</v>
      </c>
      <c r="O14" s="123" t="e">
        <f>'Price Table 8 CS'!O14+'Price Table 8 OHB'!O14+'Price Table 8 Airbus'!O14+'Price Table 8 RUAG'!O14+'Price Table 8 Syderal'!O14+'Price Table 8 APCO'!O14+'Price Table 8 EPFL'!O14+'Price Table 8 AIUB'!O14</f>
        <v>#REF!</v>
      </c>
      <c r="P14" s="123" t="e">
        <f>'Price Table 8 CS'!P14+'Price Table 8 OHB'!P14+'Price Table 8 Airbus'!P14+'Price Table 8 RUAG'!P14+'Price Table 8 Syderal'!P14+'Price Table 8 APCO'!P14+'Price Table 8 EPFL'!P14+'Price Table 8 AIUB'!P14</f>
        <v>#REF!</v>
      </c>
      <c r="Q14" s="123" t="e">
        <f>'Price Table 8 CS'!Q14+'Price Table 8 OHB'!Q14+'Price Table 8 Airbus'!Q14+'Price Table 8 RUAG'!Q14+'Price Table 8 Syderal'!Q14+'Price Table 8 APCO'!Q14+'Price Table 8 EPFL'!Q14+'Price Table 8 AIUB'!Q14</f>
        <v>#REF!</v>
      </c>
      <c r="R14" s="123" t="e">
        <f>'Price Table 8 CS'!R14+'Price Table 8 OHB'!R14+'Price Table 8 Airbus'!R14+'Price Table 8 RUAG'!R14+'Price Table 8 Syderal'!R14+'Price Table 8 APCO'!R14+'Price Table 8 EPFL'!R14+'Price Table 8 AIUB'!R14</f>
        <v>#REF!</v>
      </c>
      <c r="S14" s="123" t="e">
        <f>'Price Table 8 CS'!S14+'Price Table 8 OHB'!S14+'Price Table 8 Airbus'!S14+'Price Table 8 RUAG'!S14+'Price Table 8 Syderal'!S14+'Price Table 8 APCO'!S14+'Price Table 8 EPFL'!S14+'Price Table 8 AIUB'!S14</f>
        <v>#REF!</v>
      </c>
      <c r="T14" s="123" t="e">
        <f>'Price Table 8 CS'!T14+'Price Table 8 OHB'!T14+'Price Table 8 Airbus'!T14+'Price Table 8 RUAG'!T14+'Price Table 8 Syderal'!T14+'Price Table 8 APCO'!T14+'Price Table 8 EPFL'!T14+'Price Table 8 AIUB'!T14</f>
        <v>#REF!</v>
      </c>
      <c r="U14" s="123" t="e">
        <f>'Price Table 8 CS'!U14+'Price Table 8 OHB'!U14+'Price Table 8 Airbus'!U14+'Price Table 8 RUAG'!U14+'Price Table 8 Syderal'!U14+'Price Table 8 APCO'!U14+'Price Table 8 EPFL'!U14+'Price Table 8 AIUB'!U14</f>
        <v>#REF!</v>
      </c>
      <c r="V14" s="123" t="e">
        <f>'Price Table 8 CS'!V14+'Price Table 8 OHB'!V14+'Price Table 8 Airbus'!V14+'Price Table 8 RUAG'!V14+'Price Table 8 Syderal'!V14+'Price Table 8 APCO'!V14+'Price Table 8 EPFL'!V14+'Price Table 8 AIUB'!V14</f>
        <v>#REF!</v>
      </c>
      <c r="W14" s="123" t="e">
        <f>'Price Table 8 CS'!W14+'Price Table 8 OHB'!W14+'Price Table 8 Airbus'!W14+'Price Table 8 RUAG'!W14+'Price Table 8 Syderal'!W14+'Price Table 8 APCO'!W14+'Price Table 8 EPFL'!W14+'Price Table 8 AIUB'!W14</f>
        <v>#REF!</v>
      </c>
      <c r="X14" s="123" t="e">
        <f>'Price Table 8 CS'!X14+'Price Table 8 OHB'!X14+'Price Table 8 Airbus'!X14+'Price Table 8 RUAG'!X14+'Price Table 8 Syderal'!X14+'Price Table 8 APCO'!X14+'Price Table 8 EPFL'!X14+'Price Table 8 AIUB'!X14</f>
        <v>#REF!</v>
      </c>
      <c r="Y14" s="123" t="e">
        <f>'Price Table 8 CS'!Y14+'Price Table 8 OHB'!Y14+'Price Table 8 Airbus'!Y14+'Price Table 8 RUAG'!Y14+'Price Table 8 Syderal'!Y14+'Price Table 8 APCO'!Y14+'Price Table 8 EPFL'!Y14+'Price Table 8 AIUB'!Y14</f>
        <v>#REF!</v>
      </c>
      <c r="Z14" s="123" t="e">
        <f>'Price Table 8 CS'!Z14+'Price Table 8 OHB'!Z14+'Price Table 8 Airbus'!Z14+'Price Table 8 RUAG'!Z14+'Price Table 8 Syderal'!Z14+'Price Table 8 APCO'!Z14+'Price Table 8 EPFL'!Z14+'Price Table 8 AIUB'!Z14</f>
        <v>#REF!</v>
      </c>
      <c r="AA14" s="123" t="e">
        <f>'Price Table 8 CS'!AA14+'Price Table 8 OHB'!AA14+'Price Table 8 Airbus'!AA14+'Price Table 8 RUAG'!AA14+'Price Table 8 Syderal'!AA14+'Price Table 8 APCO'!AA14+'Price Table 8 EPFL'!AA14+'Price Table 8 AIUB'!AA14</f>
        <v>#REF!</v>
      </c>
      <c r="AB14" s="123" t="e">
        <f>'Price Table 8 CS'!AB14+'Price Table 8 OHB'!AB14+'Price Table 8 Airbus'!AB14+'Price Table 8 RUAG'!AB14+'Price Table 8 Syderal'!AB14+'Price Table 8 APCO'!AB14+'Price Table 8 EPFL'!AB14+'Price Table 8 AIUB'!AB14</f>
        <v>#REF!</v>
      </c>
      <c r="AC14" s="123" t="e">
        <f>'Price Table 8 CS'!AC14+'Price Table 8 OHB'!AC14+'Price Table 8 Airbus'!AC14+'Price Table 8 RUAG'!AC14+'Price Table 8 Syderal'!AC14+'Price Table 8 APCO'!AC14+'Price Table 8 EPFL'!AC14+'Price Table 8 AIUB'!AC14</f>
        <v>#REF!</v>
      </c>
      <c r="AD14" s="123" t="e">
        <f>'Price Table 8 CS'!AD14+'Price Table 8 OHB'!AD14+'Price Table 8 Airbus'!AD14+'Price Table 8 RUAG'!AD14+'Price Table 8 Syderal'!AD14+'Price Table 8 APCO'!AD14+'Price Table 8 EPFL'!AD14+'Price Table 8 AIUB'!AD14</f>
        <v>#REF!</v>
      </c>
      <c r="AE14" s="123" t="e">
        <f>'Price Table 8 CS'!AE14+'Price Table 8 OHB'!AE14+'Price Table 8 Airbus'!AE14+'Price Table 8 RUAG'!AE14+'Price Table 8 Syderal'!AE14+'Price Table 8 APCO'!AE14+'Price Table 8 EPFL'!AE14+'Price Table 8 AIUB'!AE14</f>
        <v>#REF!</v>
      </c>
      <c r="AF14" s="123" t="e">
        <f>'Price Table 8 CS'!AF14+'Price Table 8 OHB'!AF14+'Price Table 8 Airbus'!AF14+'Price Table 8 RUAG'!AF14+'Price Table 8 Syderal'!AF14+'Price Table 8 APCO'!AF14+'Price Table 8 EPFL'!AF14+'Price Table 8 AIUB'!AF14</f>
        <v>#REF!</v>
      </c>
      <c r="AG14" s="123" t="e">
        <f>'Price Table 8 CS'!AG14+'Price Table 8 OHB'!AG14+'Price Table 8 Airbus'!AG14+'Price Table 8 RUAG'!AG14+'Price Table 8 Syderal'!AG14+'Price Table 8 APCO'!AG14+'Price Table 8 EPFL'!AG14+'Price Table 8 AIUB'!AG14</f>
        <v>#REF!</v>
      </c>
      <c r="AH14" s="124" t="e">
        <f t="shared" ref="AH14:AH68" si="0">SUM(J14:AG14)</f>
        <v>#REF!</v>
      </c>
    </row>
    <row r="15" spans="1:34">
      <c r="A15" t="s">
        <v>76</v>
      </c>
      <c r="B15" s="42" t="s">
        <v>559</v>
      </c>
      <c r="C15" s="43"/>
      <c r="D15" s="44"/>
      <c r="E15" s="36" t="s">
        <v>12</v>
      </c>
      <c r="F15" s="36" t="s">
        <v>13</v>
      </c>
      <c r="G15" s="36" t="str">
        <f>CONCATENATE(E15,F15)</f>
        <v>MGTManpower</v>
      </c>
      <c r="H15" s="16">
        <v>130000</v>
      </c>
      <c r="J15" s="123" t="e">
        <f>'Price Table 8 CS'!J15+'Price Table 8 OHB'!J15+'Price Table 8 Airbus'!J15+'Price Table 8 RUAG'!J15+'Price Table 8 Syderal'!J15+'Price Table 8 APCO'!J15+'Price Table 8 EPFL'!J15+'Price Table 8 AIUB'!J15</f>
        <v>#REF!</v>
      </c>
      <c r="K15" s="123" t="e">
        <f>'Price Table 8 CS'!K15+'Price Table 8 OHB'!K15+'Price Table 8 Airbus'!K15+'Price Table 8 RUAG'!K15+'Price Table 8 Syderal'!K15+'Price Table 8 APCO'!K15+'Price Table 8 EPFL'!K15+'Price Table 8 AIUB'!K15</f>
        <v>#REF!</v>
      </c>
      <c r="L15" s="123" t="e">
        <f>'Price Table 8 CS'!L15+'Price Table 8 OHB'!L15+'Price Table 8 Airbus'!L15+'Price Table 8 RUAG'!L15+'Price Table 8 Syderal'!L15+'Price Table 8 APCO'!L15+'Price Table 8 EPFL'!L15+'Price Table 8 AIUB'!L15</f>
        <v>#REF!</v>
      </c>
      <c r="M15" s="123" t="e">
        <f>'Price Table 8 CS'!M15+'Price Table 8 OHB'!M15+'Price Table 8 Airbus'!M15+'Price Table 8 RUAG'!M15+'Price Table 8 Syderal'!M15+'Price Table 8 APCO'!M15+'Price Table 8 EPFL'!M15+'Price Table 8 AIUB'!M15</f>
        <v>#REF!</v>
      </c>
      <c r="N15" s="123" t="e">
        <f>'Price Table 8 CS'!N15+'Price Table 8 OHB'!N15+'Price Table 8 Airbus'!N15+'Price Table 8 RUAG'!N15+'Price Table 8 Syderal'!N15+'Price Table 8 APCO'!N15+'Price Table 8 EPFL'!N15+'Price Table 8 AIUB'!N15</f>
        <v>#REF!</v>
      </c>
      <c r="O15" s="123" t="e">
        <f>'Price Table 8 CS'!O15+'Price Table 8 OHB'!O15+'Price Table 8 Airbus'!O15+'Price Table 8 RUAG'!O15+'Price Table 8 Syderal'!O15+'Price Table 8 APCO'!O15+'Price Table 8 EPFL'!O15+'Price Table 8 AIUB'!O15</f>
        <v>#REF!</v>
      </c>
      <c r="P15" s="123" t="e">
        <f>'Price Table 8 CS'!P15+'Price Table 8 OHB'!P15+'Price Table 8 Airbus'!P15+'Price Table 8 RUAG'!P15+'Price Table 8 Syderal'!P15+'Price Table 8 APCO'!P15+'Price Table 8 EPFL'!P15+'Price Table 8 AIUB'!P15</f>
        <v>#REF!</v>
      </c>
      <c r="Q15" s="123" t="e">
        <f>'Price Table 8 CS'!Q15+'Price Table 8 OHB'!Q15+'Price Table 8 Airbus'!Q15+'Price Table 8 RUAG'!Q15+'Price Table 8 Syderal'!Q15+'Price Table 8 APCO'!Q15+'Price Table 8 EPFL'!Q15+'Price Table 8 AIUB'!Q15</f>
        <v>#REF!</v>
      </c>
      <c r="R15" s="123" t="e">
        <f>'Price Table 8 CS'!R15+'Price Table 8 OHB'!R15+'Price Table 8 Airbus'!R15+'Price Table 8 RUAG'!R15+'Price Table 8 Syderal'!R15+'Price Table 8 APCO'!R15+'Price Table 8 EPFL'!R15+'Price Table 8 AIUB'!R15</f>
        <v>#REF!</v>
      </c>
      <c r="S15" s="123" t="e">
        <f>'Price Table 8 CS'!S15+'Price Table 8 OHB'!S15+'Price Table 8 Airbus'!S15+'Price Table 8 RUAG'!S15+'Price Table 8 Syderal'!S15+'Price Table 8 APCO'!S15+'Price Table 8 EPFL'!S15+'Price Table 8 AIUB'!S15</f>
        <v>#REF!</v>
      </c>
      <c r="T15" s="123" t="e">
        <f>'Price Table 8 CS'!T15+'Price Table 8 OHB'!T15+'Price Table 8 Airbus'!T15+'Price Table 8 RUAG'!T15+'Price Table 8 Syderal'!T15+'Price Table 8 APCO'!T15+'Price Table 8 EPFL'!T15+'Price Table 8 AIUB'!T15</f>
        <v>#REF!</v>
      </c>
      <c r="U15" s="123" t="e">
        <f>'Price Table 8 CS'!U15+'Price Table 8 OHB'!U15+'Price Table 8 Airbus'!U15+'Price Table 8 RUAG'!U15+'Price Table 8 Syderal'!U15+'Price Table 8 APCO'!U15+'Price Table 8 EPFL'!U15+'Price Table 8 AIUB'!U15</f>
        <v>#REF!</v>
      </c>
      <c r="V15" s="123" t="e">
        <f>'Price Table 8 CS'!V15+'Price Table 8 OHB'!V15+'Price Table 8 Airbus'!V15+'Price Table 8 RUAG'!V15+'Price Table 8 Syderal'!V15+'Price Table 8 APCO'!V15+'Price Table 8 EPFL'!V15+'Price Table 8 AIUB'!V15</f>
        <v>#REF!</v>
      </c>
      <c r="W15" s="123" t="e">
        <f>'Price Table 8 CS'!W15+'Price Table 8 OHB'!W15+'Price Table 8 Airbus'!W15+'Price Table 8 RUAG'!W15+'Price Table 8 Syderal'!W15+'Price Table 8 APCO'!W15+'Price Table 8 EPFL'!W15+'Price Table 8 AIUB'!W15</f>
        <v>#REF!</v>
      </c>
      <c r="X15" s="123" t="e">
        <f>'Price Table 8 CS'!X15+'Price Table 8 OHB'!X15+'Price Table 8 Airbus'!X15+'Price Table 8 RUAG'!X15+'Price Table 8 Syderal'!X15+'Price Table 8 APCO'!X15+'Price Table 8 EPFL'!X15+'Price Table 8 AIUB'!X15</f>
        <v>#REF!</v>
      </c>
      <c r="Y15" s="123" t="e">
        <f>'Price Table 8 CS'!Y15+'Price Table 8 OHB'!Y15+'Price Table 8 Airbus'!Y15+'Price Table 8 RUAG'!Y15+'Price Table 8 Syderal'!Y15+'Price Table 8 APCO'!Y15+'Price Table 8 EPFL'!Y15+'Price Table 8 AIUB'!Y15</f>
        <v>#REF!</v>
      </c>
      <c r="Z15" s="123" t="e">
        <f>'Price Table 8 CS'!Z15+'Price Table 8 OHB'!Z15+'Price Table 8 Airbus'!Z15+'Price Table 8 RUAG'!Z15+'Price Table 8 Syderal'!Z15+'Price Table 8 APCO'!Z15+'Price Table 8 EPFL'!Z15+'Price Table 8 AIUB'!Z15</f>
        <v>#REF!</v>
      </c>
      <c r="AA15" s="123" t="e">
        <f>'Price Table 8 CS'!AA15+'Price Table 8 OHB'!AA15+'Price Table 8 Airbus'!AA15+'Price Table 8 RUAG'!AA15+'Price Table 8 Syderal'!AA15+'Price Table 8 APCO'!AA15+'Price Table 8 EPFL'!AA15+'Price Table 8 AIUB'!AA15</f>
        <v>#REF!</v>
      </c>
      <c r="AB15" s="123" t="e">
        <f>'Price Table 8 CS'!AB15+'Price Table 8 OHB'!AB15+'Price Table 8 Airbus'!AB15+'Price Table 8 RUAG'!AB15+'Price Table 8 Syderal'!AB15+'Price Table 8 APCO'!AB15+'Price Table 8 EPFL'!AB15+'Price Table 8 AIUB'!AB15</f>
        <v>#REF!</v>
      </c>
      <c r="AC15" s="123" t="e">
        <f>'Price Table 8 CS'!AC15+'Price Table 8 OHB'!AC15+'Price Table 8 Airbus'!AC15+'Price Table 8 RUAG'!AC15+'Price Table 8 Syderal'!AC15+'Price Table 8 APCO'!AC15+'Price Table 8 EPFL'!AC15+'Price Table 8 AIUB'!AC15</f>
        <v>#REF!</v>
      </c>
      <c r="AD15" s="123" t="e">
        <f>'Price Table 8 CS'!AD15+'Price Table 8 OHB'!AD15+'Price Table 8 Airbus'!AD15+'Price Table 8 RUAG'!AD15+'Price Table 8 Syderal'!AD15+'Price Table 8 APCO'!AD15+'Price Table 8 EPFL'!AD15+'Price Table 8 AIUB'!AD15</f>
        <v>#REF!</v>
      </c>
      <c r="AE15" s="123" t="e">
        <f>'Price Table 8 CS'!AE15+'Price Table 8 OHB'!AE15+'Price Table 8 Airbus'!AE15+'Price Table 8 RUAG'!AE15+'Price Table 8 Syderal'!AE15+'Price Table 8 APCO'!AE15+'Price Table 8 EPFL'!AE15+'Price Table 8 AIUB'!AE15</f>
        <v>#REF!</v>
      </c>
      <c r="AF15" s="123" t="e">
        <f>'Price Table 8 CS'!AF15+'Price Table 8 OHB'!AF15+'Price Table 8 Airbus'!AF15+'Price Table 8 RUAG'!AF15+'Price Table 8 Syderal'!AF15+'Price Table 8 APCO'!AF15+'Price Table 8 EPFL'!AF15+'Price Table 8 AIUB'!AF15</f>
        <v>#REF!</v>
      </c>
      <c r="AG15" s="123" t="e">
        <f>'Price Table 8 CS'!AG15+'Price Table 8 OHB'!AG15+'Price Table 8 Airbus'!AG15+'Price Table 8 RUAG'!AG15+'Price Table 8 Syderal'!AG15+'Price Table 8 APCO'!AG15+'Price Table 8 EPFL'!AG15+'Price Table 8 AIUB'!AG15</f>
        <v>#REF!</v>
      </c>
      <c r="AH15" s="124" t="e">
        <f t="shared" si="0"/>
        <v>#REF!</v>
      </c>
    </row>
    <row r="16" spans="1:34">
      <c r="A16" t="s">
        <v>62</v>
      </c>
      <c r="B16" s="42" t="s">
        <v>560</v>
      </c>
      <c r="C16" s="43"/>
      <c r="D16" s="44"/>
      <c r="E16" s="36" t="s">
        <v>14</v>
      </c>
      <c r="F16" s="36" t="s">
        <v>13</v>
      </c>
      <c r="G16" s="36" t="str">
        <f>CONCATENATE(E16,F16)</f>
        <v>MISSIONManpower</v>
      </c>
      <c r="H16" s="16" t="s">
        <v>561</v>
      </c>
      <c r="J16" s="123" t="e">
        <f>'Price Table 8 CS'!J16+'Price Table 8 OHB'!J16+'Price Table 8 Airbus'!J16+'Price Table 8 RUAG'!J16+'Price Table 8 Syderal'!J16+'Price Table 8 APCO'!J16+'Price Table 8 EPFL'!J16+'Price Table 8 AIUB'!J16</f>
        <v>#REF!</v>
      </c>
      <c r="K16" s="123" t="e">
        <f>'Price Table 8 CS'!K16+'Price Table 8 OHB'!K16+'Price Table 8 Airbus'!K16+'Price Table 8 RUAG'!K16+'Price Table 8 Syderal'!K16+'Price Table 8 APCO'!K16+'Price Table 8 EPFL'!K16+'Price Table 8 AIUB'!K16</f>
        <v>#REF!</v>
      </c>
      <c r="L16" s="123" t="e">
        <f>'Price Table 8 CS'!L16+'Price Table 8 OHB'!L16+'Price Table 8 Airbus'!L16+'Price Table 8 RUAG'!L16+'Price Table 8 Syderal'!L16+'Price Table 8 APCO'!L16+'Price Table 8 EPFL'!L16+'Price Table 8 AIUB'!L16</f>
        <v>#REF!</v>
      </c>
      <c r="M16" s="123" t="e">
        <f>'Price Table 8 CS'!M16+'Price Table 8 OHB'!M16+'Price Table 8 Airbus'!M16+'Price Table 8 RUAG'!M16+'Price Table 8 Syderal'!M16+'Price Table 8 APCO'!M16+'Price Table 8 EPFL'!M16+'Price Table 8 AIUB'!M16</f>
        <v>#REF!</v>
      </c>
      <c r="N16" s="123" t="e">
        <f>'Price Table 8 CS'!N16+'Price Table 8 OHB'!N16+'Price Table 8 Airbus'!N16+'Price Table 8 RUAG'!N16+'Price Table 8 Syderal'!N16+'Price Table 8 APCO'!N16+'Price Table 8 EPFL'!N16+'Price Table 8 AIUB'!N16</f>
        <v>#REF!</v>
      </c>
      <c r="O16" s="123" t="e">
        <f>'Price Table 8 CS'!O16+'Price Table 8 OHB'!O16+'Price Table 8 Airbus'!O16+'Price Table 8 RUAG'!O16+'Price Table 8 Syderal'!O16+'Price Table 8 APCO'!O16+'Price Table 8 EPFL'!O16+'Price Table 8 AIUB'!O16</f>
        <v>#REF!</v>
      </c>
      <c r="P16" s="123" t="e">
        <f>'Price Table 8 CS'!P16+'Price Table 8 OHB'!P16+'Price Table 8 Airbus'!P16+'Price Table 8 RUAG'!P16+'Price Table 8 Syderal'!P16+'Price Table 8 APCO'!P16+'Price Table 8 EPFL'!P16+'Price Table 8 AIUB'!P16</f>
        <v>#REF!</v>
      </c>
      <c r="Q16" s="123" t="e">
        <f>'Price Table 8 CS'!Q16+'Price Table 8 OHB'!Q16+'Price Table 8 Airbus'!Q16+'Price Table 8 RUAG'!Q16+'Price Table 8 Syderal'!Q16+'Price Table 8 APCO'!Q16+'Price Table 8 EPFL'!Q16+'Price Table 8 AIUB'!Q16</f>
        <v>#REF!</v>
      </c>
      <c r="R16" s="123" t="e">
        <f>'Price Table 8 CS'!R16+'Price Table 8 OHB'!R16+'Price Table 8 Airbus'!R16+'Price Table 8 RUAG'!R16+'Price Table 8 Syderal'!R16+'Price Table 8 APCO'!R16+'Price Table 8 EPFL'!R16+'Price Table 8 AIUB'!R16</f>
        <v>#REF!</v>
      </c>
      <c r="S16" s="123" t="e">
        <f>'Price Table 8 CS'!S16+'Price Table 8 OHB'!S16+'Price Table 8 Airbus'!S16+'Price Table 8 RUAG'!S16+'Price Table 8 Syderal'!S16+'Price Table 8 APCO'!S16+'Price Table 8 EPFL'!S16+'Price Table 8 AIUB'!S16</f>
        <v>#REF!</v>
      </c>
      <c r="T16" s="123" t="e">
        <f>'Price Table 8 CS'!T16+'Price Table 8 OHB'!T16+'Price Table 8 Airbus'!T16+'Price Table 8 RUAG'!T16+'Price Table 8 Syderal'!T16+'Price Table 8 APCO'!T16+'Price Table 8 EPFL'!T16+'Price Table 8 AIUB'!T16</f>
        <v>#REF!</v>
      </c>
      <c r="U16" s="123" t="e">
        <f>'Price Table 8 CS'!U16+'Price Table 8 OHB'!U16+'Price Table 8 Airbus'!U16+'Price Table 8 RUAG'!U16+'Price Table 8 Syderal'!U16+'Price Table 8 APCO'!U16+'Price Table 8 EPFL'!U16+'Price Table 8 AIUB'!U16</f>
        <v>#REF!</v>
      </c>
      <c r="V16" s="123" t="e">
        <f>'Price Table 8 CS'!V16+'Price Table 8 OHB'!V16+'Price Table 8 Airbus'!V16+'Price Table 8 RUAG'!V16+'Price Table 8 Syderal'!V16+'Price Table 8 APCO'!V16+'Price Table 8 EPFL'!V16+'Price Table 8 AIUB'!V16</f>
        <v>#REF!</v>
      </c>
      <c r="W16" s="123" t="e">
        <f>'Price Table 8 CS'!W16+'Price Table 8 OHB'!W16+'Price Table 8 Airbus'!W16+'Price Table 8 RUAG'!W16+'Price Table 8 Syderal'!W16+'Price Table 8 APCO'!W16+'Price Table 8 EPFL'!W16+'Price Table 8 AIUB'!W16</f>
        <v>#REF!</v>
      </c>
      <c r="X16" s="123" t="e">
        <f>'Price Table 8 CS'!X16+'Price Table 8 OHB'!X16+'Price Table 8 Airbus'!X16+'Price Table 8 RUAG'!X16+'Price Table 8 Syderal'!X16+'Price Table 8 APCO'!X16+'Price Table 8 EPFL'!X16+'Price Table 8 AIUB'!X16</f>
        <v>#REF!</v>
      </c>
      <c r="Y16" s="123" t="e">
        <f>'Price Table 8 CS'!Y16+'Price Table 8 OHB'!Y16+'Price Table 8 Airbus'!Y16+'Price Table 8 RUAG'!Y16+'Price Table 8 Syderal'!Y16+'Price Table 8 APCO'!Y16+'Price Table 8 EPFL'!Y16+'Price Table 8 AIUB'!Y16</f>
        <v>#REF!</v>
      </c>
      <c r="Z16" s="123" t="e">
        <f>'Price Table 8 CS'!Z16+'Price Table 8 OHB'!Z16+'Price Table 8 Airbus'!Z16+'Price Table 8 RUAG'!Z16+'Price Table 8 Syderal'!Z16+'Price Table 8 APCO'!Z16+'Price Table 8 EPFL'!Z16+'Price Table 8 AIUB'!Z16</f>
        <v>#REF!</v>
      </c>
      <c r="AA16" s="123" t="e">
        <f>'Price Table 8 CS'!AA16+'Price Table 8 OHB'!AA16+'Price Table 8 Airbus'!AA16+'Price Table 8 RUAG'!AA16+'Price Table 8 Syderal'!AA16+'Price Table 8 APCO'!AA16+'Price Table 8 EPFL'!AA16+'Price Table 8 AIUB'!AA16</f>
        <v>#REF!</v>
      </c>
      <c r="AB16" s="123" t="e">
        <f>'Price Table 8 CS'!AB16+'Price Table 8 OHB'!AB16+'Price Table 8 Airbus'!AB16+'Price Table 8 RUAG'!AB16+'Price Table 8 Syderal'!AB16+'Price Table 8 APCO'!AB16+'Price Table 8 EPFL'!AB16+'Price Table 8 AIUB'!AB16</f>
        <v>#REF!</v>
      </c>
      <c r="AC16" s="123" t="e">
        <f>'Price Table 8 CS'!AC16+'Price Table 8 OHB'!AC16+'Price Table 8 Airbus'!AC16+'Price Table 8 RUAG'!AC16+'Price Table 8 Syderal'!AC16+'Price Table 8 APCO'!AC16+'Price Table 8 EPFL'!AC16+'Price Table 8 AIUB'!AC16</f>
        <v>#REF!</v>
      </c>
      <c r="AD16" s="123" t="e">
        <f>'Price Table 8 CS'!AD16+'Price Table 8 OHB'!AD16+'Price Table 8 Airbus'!AD16+'Price Table 8 RUAG'!AD16+'Price Table 8 Syderal'!AD16+'Price Table 8 APCO'!AD16+'Price Table 8 EPFL'!AD16+'Price Table 8 AIUB'!AD16</f>
        <v>#REF!</v>
      </c>
      <c r="AE16" s="123" t="e">
        <f>'Price Table 8 CS'!AE16+'Price Table 8 OHB'!AE16+'Price Table 8 Airbus'!AE16+'Price Table 8 RUAG'!AE16+'Price Table 8 Syderal'!AE16+'Price Table 8 APCO'!AE16+'Price Table 8 EPFL'!AE16+'Price Table 8 AIUB'!AE16</f>
        <v>#REF!</v>
      </c>
      <c r="AF16" s="123" t="e">
        <f>'Price Table 8 CS'!AF16+'Price Table 8 OHB'!AF16+'Price Table 8 Airbus'!AF16+'Price Table 8 RUAG'!AF16+'Price Table 8 Syderal'!AF16+'Price Table 8 APCO'!AF16+'Price Table 8 EPFL'!AF16+'Price Table 8 AIUB'!AF16</f>
        <v>#REF!</v>
      </c>
      <c r="AG16" s="123" t="e">
        <f>'Price Table 8 CS'!AG16+'Price Table 8 OHB'!AG16+'Price Table 8 Airbus'!AG16+'Price Table 8 RUAG'!AG16+'Price Table 8 Syderal'!AG16+'Price Table 8 APCO'!AG16+'Price Table 8 EPFL'!AG16+'Price Table 8 AIUB'!AG16</f>
        <v>#REF!</v>
      </c>
      <c r="AH16" s="124" t="e">
        <f t="shared" si="0"/>
        <v>#REF!</v>
      </c>
    </row>
    <row r="17" spans="1:39" s="16" customFormat="1">
      <c r="B17" s="45"/>
      <c r="C17" s="55"/>
      <c r="D17" s="56" t="s">
        <v>562</v>
      </c>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row>
    <row r="18" spans="1:39">
      <c r="A18" t="s">
        <v>120</v>
      </c>
      <c r="B18" s="42" t="s">
        <v>563</v>
      </c>
      <c r="C18" s="43"/>
      <c r="D18" s="44"/>
      <c r="E18" s="36" t="s">
        <v>14</v>
      </c>
      <c r="F18" s="36" t="s">
        <v>13</v>
      </c>
      <c r="G18" s="36" t="str">
        <f>CONCATENATE(E18,F18)</f>
        <v>MISSIONManpower</v>
      </c>
      <c r="H18" s="60">
        <v>401000</v>
      </c>
      <c r="I18" s="65" t="s">
        <v>564</v>
      </c>
      <c r="J18" s="123" t="e">
        <f>'Price Table 8 CS'!J18+'Price Table 8 OHB'!J18+'Price Table 8 Airbus'!J18+'Price Table 8 RUAG'!J18+'Price Table 8 Syderal'!J18+'Price Table 8 APCO'!J18+'Price Table 8 EPFL'!J18+'Price Table 8 AIUB'!J18</f>
        <v>#REF!</v>
      </c>
      <c r="K18" s="123" t="e">
        <f>'Price Table 8 CS'!K18+'Price Table 8 OHB'!K18+'Price Table 8 Airbus'!K18+'Price Table 8 RUAG'!K18+'Price Table 8 Syderal'!K18+'Price Table 8 APCO'!K18+'Price Table 8 EPFL'!K18+'Price Table 8 AIUB'!K18</f>
        <v>#REF!</v>
      </c>
      <c r="L18" s="123" t="e">
        <f>'Price Table 8 CS'!L18+'Price Table 8 OHB'!L18+'Price Table 8 Airbus'!L18+'Price Table 8 RUAG'!L18+'Price Table 8 Syderal'!L18+'Price Table 8 APCO'!L18+'Price Table 8 EPFL'!L18+'Price Table 8 AIUB'!L18</f>
        <v>#REF!</v>
      </c>
      <c r="M18" s="123" t="e">
        <f>'Price Table 8 CS'!M18+'Price Table 8 OHB'!M18+'Price Table 8 Airbus'!M18+'Price Table 8 RUAG'!M18+'Price Table 8 Syderal'!M18+'Price Table 8 APCO'!M18+'Price Table 8 EPFL'!M18+'Price Table 8 AIUB'!M18</f>
        <v>#REF!</v>
      </c>
      <c r="N18" s="123" t="e">
        <f>'Price Table 8 CS'!N18+'Price Table 8 OHB'!N18+'Price Table 8 Airbus'!N18+'Price Table 8 RUAG'!N18+'Price Table 8 Syderal'!N18+'Price Table 8 APCO'!N18+'Price Table 8 EPFL'!N18+'Price Table 8 AIUB'!N18</f>
        <v>#REF!</v>
      </c>
      <c r="O18" s="123" t="e">
        <f>'Price Table 8 CS'!O18+'Price Table 8 OHB'!O18+'Price Table 8 Airbus'!O18+'Price Table 8 RUAG'!O18+'Price Table 8 Syderal'!O18+'Price Table 8 APCO'!O18+'Price Table 8 EPFL'!O18+'Price Table 8 AIUB'!O18</f>
        <v>#REF!</v>
      </c>
      <c r="P18" s="123" t="e">
        <f>'Price Table 8 CS'!P18+'Price Table 8 OHB'!P18+'Price Table 8 Airbus'!P18+'Price Table 8 RUAG'!P18+'Price Table 8 Syderal'!P18+'Price Table 8 APCO'!P18+'Price Table 8 EPFL'!P18+'Price Table 8 AIUB'!P18</f>
        <v>#REF!</v>
      </c>
      <c r="Q18" s="123" t="e">
        <f>'Price Table 8 CS'!Q18+'Price Table 8 OHB'!Q18+'Price Table 8 Airbus'!Q18+'Price Table 8 RUAG'!Q18+'Price Table 8 Syderal'!Q18+'Price Table 8 APCO'!Q18+'Price Table 8 EPFL'!Q18+'Price Table 8 AIUB'!Q18</f>
        <v>#REF!</v>
      </c>
      <c r="R18" s="123" t="e">
        <f>'Price Table 8 CS'!R18+'Price Table 8 OHB'!R18+'Price Table 8 Airbus'!R18+'Price Table 8 RUAG'!R18+'Price Table 8 Syderal'!R18+'Price Table 8 APCO'!R18+'Price Table 8 EPFL'!R18+'Price Table 8 AIUB'!R18</f>
        <v>#REF!</v>
      </c>
      <c r="S18" s="123" t="e">
        <f>'Price Table 8 CS'!S18+'Price Table 8 OHB'!S18+'Price Table 8 Airbus'!S18+'Price Table 8 RUAG'!S18+'Price Table 8 Syderal'!S18+'Price Table 8 APCO'!S18+'Price Table 8 EPFL'!S18+'Price Table 8 AIUB'!S18</f>
        <v>#REF!</v>
      </c>
      <c r="T18" s="123" t="e">
        <f>'Price Table 8 CS'!T18+'Price Table 8 OHB'!T18+'Price Table 8 Airbus'!T18+'Price Table 8 RUAG'!T18+'Price Table 8 Syderal'!T18+'Price Table 8 APCO'!T18+'Price Table 8 EPFL'!T18+'Price Table 8 AIUB'!T18</f>
        <v>#REF!</v>
      </c>
      <c r="U18" s="123" t="e">
        <f>'Price Table 8 CS'!U18+'Price Table 8 OHB'!U18+'Price Table 8 Airbus'!U18+'Price Table 8 RUAG'!U18+'Price Table 8 Syderal'!U18+'Price Table 8 APCO'!U18+'Price Table 8 EPFL'!U18+'Price Table 8 AIUB'!U18</f>
        <v>#REF!</v>
      </c>
      <c r="V18" s="123" t="e">
        <f>'Price Table 8 CS'!V18+'Price Table 8 OHB'!V18+'Price Table 8 Airbus'!V18+'Price Table 8 RUAG'!V18+'Price Table 8 Syderal'!V18+'Price Table 8 APCO'!V18+'Price Table 8 EPFL'!V18+'Price Table 8 AIUB'!V18</f>
        <v>#REF!</v>
      </c>
      <c r="W18" s="123" t="e">
        <f>'Price Table 8 CS'!W18+'Price Table 8 OHB'!W18+'Price Table 8 Airbus'!W18+'Price Table 8 RUAG'!W18+'Price Table 8 Syderal'!W18+'Price Table 8 APCO'!W18+'Price Table 8 EPFL'!W18+'Price Table 8 AIUB'!W18</f>
        <v>#REF!</v>
      </c>
      <c r="X18" s="123" t="e">
        <f>'Price Table 8 CS'!X18+'Price Table 8 OHB'!X18+'Price Table 8 Airbus'!X18+'Price Table 8 RUAG'!X18+'Price Table 8 Syderal'!X18+'Price Table 8 APCO'!X18+'Price Table 8 EPFL'!X18+'Price Table 8 AIUB'!X18</f>
        <v>#REF!</v>
      </c>
      <c r="Y18" s="123" t="e">
        <f>'Price Table 8 CS'!Y18+'Price Table 8 OHB'!Y18+'Price Table 8 Airbus'!Y18+'Price Table 8 RUAG'!Y18+'Price Table 8 Syderal'!Y18+'Price Table 8 APCO'!Y18+'Price Table 8 EPFL'!Y18+'Price Table 8 AIUB'!Y18</f>
        <v>#REF!</v>
      </c>
      <c r="Z18" s="123" t="e">
        <f>'Price Table 8 CS'!Z18+'Price Table 8 OHB'!Z18+'Price Table 8 Airbus'!Z18+'Price Table 8 RUAG'!Z18+'Price Table 8 Syderal'!Z18+'Price Table 8 APCO'!Z18+'Price Table 8 EPFL'!Z18+'Price Table 8 AIUB'!Z18</f>
        <v>#REF!</v>
      </c>
      <c r="AA18" s="123" t="e">
        <f>'Price Table 8 CS'!AA18+'Price Table 8 OHB'!AA18+'Price Table 8 Airbus'!AA18+'Price Table 8 RUAG'!AA18+'Price Table 8 Syderal'!AA18+'Price Table 8 APCO'!AA18+'Price Table 8 EPFL'!AA18+'Price Table 8 AIUB'!AA18</f>
        <v>#REF!</v>
      </c>
      <c r="AB18" s="123" t="e">
        <f>'Price Table 8 CS'!AB18+'Price Table 8 OHB'!AB18+'Price Table 8 Airbus'!AB18+'Price Table 8 RUAG'!AB18+'Price Table 8 Syderal'!AB18+'Price Table 8 APCO'!AB18+'Price Table 8 EPFL'!AB18+'Price Table 8 AIUB'!AB18</f>
        <v>#REF!</v>
      </c>
      <c r="AC18" s="123" t="e">
        <f>'Price Table 8 CS'!AC18+'Price Table 8 OHB'!AC18+'Price Table 8 Airbus'!AC18+'Price Table 8 RUAG'!AC18+'Price Table 8 Syderal'!AC18+'Price Table 8 APCO'!AC18+'Price Table 8 EPFL'!AC18+'Price Table 8 AIUB'!AC18</f>
        <v>#REF!</v>
      </c>
      <c r="AD18" s="123" t="e">
        <f>'Price Table 8 CS'!AD18+'Price Table 8 OHB'!AD18+'Price Table 8 Airbus'!AD18+'Price Table 8 RUAG'!AD18+'Price Table 8 Syderal'!AD18+'Price Table 8 APCO'!AD18+'Price Table 8 EPFL'!AD18+'Price Table 8 AIUB'!AD18</f>
        <v>#REF!</v>
      </c>
      <c r="AE18" s="123" t="e">
        <f>'Price Table 8 CS'!AE18+'Price Table 8 OHB'!AE18+'Price Table 8 Airbus'!AE18+'Price Table 8 RUAG'!AE18+'Price Table 8 Syderal'!AE18+'Price Table 8 APCO'!AE18+'Price Table 8 EPFL'!AE18+'Price Table 8 AIUB'!AE18</f>
        <v>#REF!</v>
      </c>
      <c r="AF18" s="123" t="e">
        <f>'Price Table 8 CS'!AF18+'Price Table 8 OHB'!AF18+'Price Table 8 Airbus'!AF18+'Price Table 8 RUAG'!AF18+'Price Table 8 Syderal'!AF18+'Price Table 8 APCO'!AF18+'Price Table 8 EPFL'!AF18+'Price Table 8 AIUB'!AF18</f>
        <v>#REF!</v>
      </c>
      <c r="AG18" s="123" t="e">
        <f>'Price Table 8 CS'!AG18+'Price Table 8 OHB'!AG18+'Price Table 8 Airbus'!AG18+'Price Table 8 RUAG'!AG18+'Price Table 8 Syderal'!AG18+'Price Table 8 APCO'!AG18+'Price Table 8 EPFL'!AG18+'Price Table 8 AIUB'!AG18</f>
        <v>#REF!</v>
      </c>
      <c r="AH18" s="124" t="e">
        <f t="shared" si="0"/>
        <v>#REF!</v>
      </c>
    </row>
    <row r="19" spans="1:39">
      <c r="A19" t="s">
        <v>351</v>
      </c>
      <c r="B19" s="42" t="s">
        <v>565</v>
      </c>
      <c r="C19" s="43"/>
      <c r="D19" s="44"/>
      <c r="E19" s="36" t="s">
        <v>14</v>
      </c>
      <c r="F19" s="36" t="s">
        <v>13</v>
      </c>
      <c r="G19" s="36" t="str">
        <f>CONCATENATE(E19,F19)</f>
        <v>MISSIONManpower</v>
      </c>
      <c r="H19" s="60" t="s">
        <v>638</v>
      </c>
      <c r="I19" t="s">
        <v>567</v>
      </c>
      <c r="J19" s="123" t="e">
        <f>'Price Table 8 CS'!J19+'Price Table 8 OHB'!J19+'Price Table 8 Airbus'!J19+'Price Table 8 RUAG'!J19+'Price Table 8 Syderal'!J19+'Price Table 8 APCO'!J19+'Price Table 8 EPFL'!J19+'Price Table 8 AIUB'!J19</f>
        <v>#REF!</v>
      </c>
      <c r="K19" s="123" t="e">
        <f>'Price Table 8 CS'!K19+'Price Table 8 OHB'!K19+'Price Table 8 Airbus'!K19+'Price Table 8 RUAG'!K19+'Price Table 8 Syderal'!K19+'Price Table 8 APCO'!K19+'Price Table 8 EPFL'!K19+'Price Table 8 AIUB'!K19</f>
        <v>#REF!</v>
      </c>
      <c r="L19" s="123" t="e">
        <f>'Price Table 8 CS'!L19+'Price Table 8 OHB'!L19+'Price Table 8 Airbus'!L19+'Price Table 8 RUAG'!L19+'Price Table 8 Syderal'!L19+'Price Table 8 APCO'!L19+'Price Table 8 EPFL'!L19+'Price Table 8 AIUB'!L19</f>
        <v>#REF!</v>
      </c>
      <c r="M19" s="123" t="e">
        <f>'Price Table 8 CS'!M19+'Price Table 8 OHB'!M19+'Price Table 8 Airbus'!M19+'Price Table 8 RUAG'!M19+'Price Table 8 Syderal'!M19+'Price Table 8 APCO'!M19+'Price Table 8 EPFL'!M19+'Price Table 8 AIUB'!M19</f>
        <v>#REF!</v>
      </c>
      <c r="N19" s="123" t="e">
        <f>'Price Table 8 CS'!N19+'Price Table 8 OHB'!N19+'Price Table 8 Airbus'!N19+'Price Table 8 RUAG'!N19+'Price Table 8 Syderal'!N19+'Price Table 8 APCO'!N19+'Price Table 8 EPFL'!N19+'Price Table 8 AIUB'!N19</f>
        <v>#REF!</v>
      </c>
      <c r="O19" s="123" t="e">
        <f>'Price Table 8 CS'!O19+'Price Table 8 OHB'!O19+'Price Table 8 Airbus'!O19+'Price Table 8 RUAG'!O19+'Price Table 8 Syderal'!O19+'Price Table 8 APCO'!O19+'Price Table 8 EPFL'!O19+'Price Table 8 AIUB'!O19</f>
        <v>#REF!</v>
      </c>
      <c r="P19" s="123" t="e">
        <f>'Price Table 8 CS'!P19+'Price Table 8 OHB'!P19+'Price Table 8 Airbus'!P19+'Price Table 8 RUAG'!P19+'Price Table 8 Syderal'!P19+'Price Table 8 APCO'!P19+'Price Table 8 EPFL'!P19+'Price Table 8 AIUB'!P19</f>
        <v>#REF!</v>
      </c>
      <c r="Q19" s="123" t="e">
        <f>'Price Table 8 CS'!Q19+'Price Table 8 OHB'!Q19+'Price Table 8 Airbus'!Q19+'Price Table 8 RUAG'!Q19+'Price Table 8 Syderal'!Q19+'Price Table 8 APCO'!Q19+'Price Table 8 EPFL'!Q19+'Price Table 8 AIUB'!Q19</f>
        <v>#REF!</v>
      </c>
      <c r="R19" s="123" t="e">
        <f>'Price Table 8 CS'!R19+'Price Table 8 OHB'!R19+'Price Table 8 Airbus'!R19+'Price Table 8 RUAG'!R19+'Price Table 8 Syderal'!R19+'Price Table 8 APCO'!R19+'Price Table 8 EPFL'!R19+'Price Table 8 AIUB'!R19</f>
        <v>#REF!</v>
      </c>
      <c r="S19" s="123" t="e">
        <f>'Price Table 8 CS'!S19+'Price Table 8 OHB'!S19+'Price Table 8 Airbus'!S19+'Price Table 8 RUAG'!S19+'Price Table 8 Syderal'!S19+'Price Table 8 APCO'!S19+'Price Table 8 EPFL'!S19+'Price Table 8 AIUB'!S19</f>
        <v>#REF!</v>
      </c>
      <c r="T19" s="123" t="e">
        <f>'Price Table 8 CS'!T19+'Price Table 8 OHB'!T19+'Price Table 8 Airbus'!T19+'Price Table 8 RUAG'!T19+'Price Table 8 Syderal'!T19+'Price Table 8 APCO'!T19+'Price Table 8 EPFL'!T19+'Price Table 8 AIUB'!T19</f>
        <v>#REF!</v>
      </c>
      <c r="U19" s="123" t="e">
        <f>'Price Table 8 CS'!U19+'Price Table 8 OHB'!U19+'Price Table 8 Airbus'!U19+'Price Table 8 RUAG'!U19+'Price Table 8 Syderal'!U19+'Price Table 8 APCO'!U19+'Price Table 8 EPFL'!U19+'Price Table 8 AIUB'!U19</f>
        <v>#REF!</v>
      </c>
      <c r="V19" s="123" t="e">
        <f>'Price Table 8 CS'!V19+'Price Table 8 OHB'!V19+'Price Table 8 Airbus'!V19+'Price Table 8 RUAG'!V19+'Price Table 8 Syderal'!V19+'Price Table 8 APCO'!V19+'Price Table 8 EPFL'!V19+'Price Table 8 AIUB'!V19</f>
        <v>#REF!</v>
      </c>
      <c r="W19" s="123" t="e">
        <f>'Price Table 8 CS'!W19+'Price Table 8 OHB'!W19+'Price Table 8 Airbus'!W19+'Price Table 8 RUAG'!W19+'Price Table 8 Syderal'!W19+'Price Table 8 APCO'!W19+'Price Table 8 EPFL'!W19+'Price Table 8 AIUB'!W19</f>
        <v>#REF!</v>
      </c>
      <c r="X19" s="123" t="e">
        <f>'Price Table 8 CS'!X19+'Price Table 8 OHB'!X19+'Price Table 8 Airbus'!X19+'Price Table 8 RUAG'!X19+'Price Table 8 Syderal'!X19+'Price Table 8 APCO'!X19+'Price Table 8 EPFL'!X19+'Price Table 8 AIUB'!X19</f>
        <v>#REF!</v>
      </c>
      <c r="Y19" s="123" t="e">
        <f>'Price Table 8 CS'!Y19+'Price Table 8 OHB'!Y19+'Price Table 8 Airbus'!Y19+'Price Table 8 RUAG'!Y19+'Price Table 8 Syderal'!Y19+'Price Table 8 APCO'!Y19+'Price Table 8 EPFL'!Y19+'Price Table 8 AIUB'!Y19</f>
        <v>#REF!</v>
      </c>
      <c r="Z19" s="123" t="e">
        <f>'Price Table 8 CS'!Z19+'Price Table 8 OHB'!Z19+'Price Table 8 Airbus'!Z19+'Price Table 8 RUAG'!Z19+'Price Table 8 Syderal'!Z19+'Price Table 8 APCO'!Z19+'Price Table 8 EPFL'!Z19+'Price Table 8 AIUB'!Z19</f>
        <v>#REF!</v>
      </c>
      <c r="AA19" s="123" t="e">
        <f>'Price Table 8 CS'!AA19+'Price Table 8 OHB'!AA19+'Price Table 8 Airbus'!AA19+'Price Table 8 RUAG'!AA19+'Price Table 8 Syderal'!AA19+'Price Table 8 APCO'!AA19+'Price Table 8 EPFL'!AA19+'Price Table 8 AIUB'!AA19</f>
        <v>#REF!</v>
      </c>
      <c r="AB19" s="123" t="e">
        <f>'Price Table 8 CS'!AB19+'Price Table 8 OHB'!AB19+'Price Table 8 Airbus'!AB19+'Price Table 8 RUAG'!AB19+'Price Table 8 Syderal'!AB19+'Price Table 8 APCO'!AB19+'Price Table 8 EPFL'!AB19+'Price Table 8 AIUB'!AB19</f>
        <v>#REF!</v>
      </c>
      <c r="AC19" s="123" t="e">
        <f>'Price Table 8 CS'!AC19+'Price Table 8 OHB'!AC19+'Price Table 8 Airbus'!AC19+'Price Table 8 RUAG'!AC19+'Price Table 8 Syderal'!AC19+'Price Table 8 APCO'!AC19+'Price Table 8 EPFL'!AC19+'Price Table 8 AIUB'!AC19</f>
        <v>#REF!</v>
      </c>
      <c r="AD19" s="123" t="e">
        <f>'Price Table 8 CS'!AD19+'Price Table 8 OHB'!AD19+'Price Table 8 Airbus'!AD19+'Price Table 8 RUAG'!AD19+'Price Table 8 Syderal'!AD19+'Price Table 8 APCO'!AD19+'Price Table 8 EPFL'!AD19+'Price Table 8 AIUB'!AD19</f>
        <v>#REF!</v>
      </c>
      <c r="AE19" s="123" t="e">
        <f>'Price Table 8 CS'!AE19+'Price Table 8 OHB'!AE19+'Price Table 8 Airbus'!AE19+'Price Table 8 RUAG'!AE19+'Price Table 8 Syderal'!AE19+'Price Table 8 APCO'!AE19+'Price Table 8 EPFL'!AE19+'Price Table 8 AIUB'!AE19</f>
        <v>#REF!</v>
      </c>
      <c r="AF19" s="123" t="e">
        <f>'Price Table 8 CS'!AF19+'Price Table 8 OHB'!AF19+'Price Table 8 Airbus'!AF19+'Price Table 8 RUAG'!AF19+'Price Table 8 Syderal'!AF19+'Price Table 8 APCO'!AF19+'Price Table 8 EPFL'!AF19+'Price Table 8 AIUB'!AF19</f>
        <v>#REF!</v>
      </c>
      <c r="AG19" s="123" t="e">
        <f>'Price Table 8 CS'!AG19+'Price Table 8 OHB'!AG19+'Price Table 8 Airbus'!AG19+'Price Table 8 RUAG'!AG19+'Price Table 8 Syderal'!AG19+'Price Table 8 APCO'!AG19+'Price Table 8 EPFL'!AG19+'Price Table 8 AIUB'!AG19</f>
        <v>#REF!</v>
      </c>
      <c r="AH19" s="124" t="e">
        <f t="shared" si="0"/>
        <v>#REF!</v>
      </c>
    </row>
    <row r="20" spans="1:39">
      <c r="A20" t="s">
        <v>356</v>
      </c>
      <c r="B20" s="42" t="s">
        <v>568</v>
      </c>
      <c r="C20" s="43"/>
      <c r="D20" s="44"/>
      <c r="E20" s="36" t="s">
        <v>14</v>
      </c>
      <c r="F20" s="36" t="s">
        <v>117</v>
      </c>
      <c r="G20" s="36" t="str">
        <f>CONCATENATE(E20,F20)</f>
        <v>MISSIONProcurement</v>
      </c>
      <c r="H20" s="60">
        <v>510000</v>
      </c>
      <c r="I20" t="s">
        <v>569</v>
      </c>
      <c r="J20" s="123" t="e">
        <f>'Price Table 8 CS'!J20+'Price Table 8 OHB'!J20+'Price Table 8 Airbus'!J20+'Price Table 8 RUAG'!J20+'Price Table 8 Syderal'!J20+'Price Table 8 APCO'!J20+'Price Table 8 EPFL'!J20+'Price Table 8 AIUB'!J20</f>
        <v>#REF!</v>
      </c>
      <c r="K20" s="123" t="e">
        <f>'Price Table 8 CS'!K20+'Price Table 8 OHB'!K20+'Price Table 8 Airbus'!K20+'Price Table 8 RUAG'!K20+'Price Table 8 Syderal'!K20+'Price Table 8 APCO'!K20+'Price Table 8 EPFL'!K20+'Price Table 8 AIUB'!K20</f>
        <v>#REF!</v>
      </c>
      <c r="L20" s="123" t="e">
        <f>'Price Table 8 CS'!L20+'Price Table 8 OHB'!L20+'Price Table 8 Airbus'!L20+'Price Table 8 RUAG'!L20+'Price Table 8 Syderal'!L20+'Price Table 8 APCO'!L20+'Price Table 8 EPFL'!L20+'Price Table 8 AIUB'!L20</f>
        <v>#REF!</v>
      </c>
      <c r="M20" s="123" t="e">
        <f>'Price Table 8 CS'!M20+'Price Table 8 OHB'!M20+'Price Table 8 Airbus'!M20+'Price Table 8 RUAG'!M20+'Price Table 8 Syderal'!M20+'Price Table 8 APCO'!M20+'Price Table 8 EPFL'!M20+'Price Table 8 AIUB'!M20</f>
        <v>#REF!</v>
      </c>
      <c r="N20" s="123" t="e">
        <f>'Price Table 8 CS'!N20+'Price Table 8 OHB'!N20+'Price Table 8 Airbus'!N20+'Price Table 8 RUAG'!N20+'Price Table 8 Syderal'!N20+'Price Table 8 APCO'!N20+'Price Table 8 EPFL'!N20+'Price Table 8 AIUB'!N20</f>
        <v>#REF!</v>
      </c>
      <c r="O20" s="123" t="e">
        <f>'Price Table 8 CS'!O20+'Price Table 8 OHB'!O20+'Price Table 8 Airbus'!O20+'Price Table 8 RUAG'!O20+'Price Table 8 Syderal'!O20+'Price Table 8 APCO'!O20+'Price Table 8 EPFL'!O20+'Price Table 8 AIUB'!O20</f>
        <v>#REF!</v>
      </c>
      <c r="P20" s="123" t="e">
        <f>'Price Table 8 CS'!P20+'Price Table 8 OHB'!P20+'Price Table 8 Airbus'!P20+'Price Table 8 RUAG'!P20+'Price Table 8 Syderal'!P20+'Price Table 8 APCO'!P20+'Price Table 8 EPFL'!P20+'Price Table 8 AIUB'!P20</f>
        <v>#REF!</v>
      </c>
      <c r="Q20" s="123" t="e">
        <f>'Price Table 8 CS'!Q20+'Price Table 8 OHB'!Q20+'Price Table 8 Airbus'!Q20+'Price Table 8 RUAG'!Q20+'Price Table 8 Syderal'!Q20+'Price Table 8 APCO'!Q20+'Price Table 8 EPFL'!Q20+'Price Table 8 AIUB'!Q20</f>
        <v>#REF!</v>
      </c>
      <c r="R20" s="123" t="e">
        <f>'Price Table 8 CS'!R20+'Price Table 8 OHB'!R20+'Price Table 8 Airbus'!R20+'Price Table 8 RUAG'!R20+'Price Table 8 Syderal'!R20+'Price Table 8 APCO'!R20+'Price Table 8 EPFL'!R20+'Price Table 8 AIUB'!R20</f>
        <v>#REF!</v>
      </c>
      <c r="S20" s="123" t="e">
        <f>'Price Table 8 CS'!S20+'Price Table 8 OHB'!S20+'Price Table 8 Airbus'!S20+'Price Table 8 RUAG'!S20+'Price Table 8 Syderal'!S20+'Price Table 8 APCO'!S20+'Price Table 8 EPFL'!S20+'Price Table 8 AIUB'!S20</f>
        <v>#REF!</v>
      </c>
      <c r="T20" s="123" t="e">
        <f>'Price Table 8 CS'!T20+'Price Table 8 OHB'!T20+'Price Table 8 Airbus'!T20+'Price Table 8 RUAG'!T20+'Price Table 8 Syderal'!T20+'Price Table 8 APCO'!T20+'Price Table 8 EPFL'!T20+'Price Table 8 AIUB'!T20</f>
        <v>#REF!</v>
      </c>
      <c r="U20" s="123" t="e">
        <f>'Price Table 8 CS'!U20+'Price Table 8 OHB'!U20+'Price Table 8 Airbus'!U20+'Price Table 8 RUAG'!U20+'Price Table 8 Syderal'!U20+'Price Table 8 APCO'!U20+'Price Table 8 EPFL'!U20+'Price Table 8 AIUB'!U20</f>
        <v>#REF!</v>
      </c>
      <c r="V20" s="123" t="e">
        <f>'Price Table 8 CS'!V20+'Price Table 8 OHB'!V20+'Price Table 8 Airbus'!V20+'Price Table 8 RUAG'!V20+'Price Table 8 Syderal'!V20+'Price Table 8 APCO'!V20+'Price Table 8 EPFL'!V20+'Price Table 8 AIUB'!V20</f>
        <v>#REF!</v>
      </c>
      <c r="W20" s="123" t="e">
        <f>'Price Table 8 CS'!W20+'Price Table 8 OHB'!W20+'Price Table 8 Airbus'!W20+'Price Table 8 RUAG'!W20+'Price Table 8 Syderal'!W20+'Price Table 8 APCO'!W20+'Price Table 8 EPFL'!W20+'Price Table 8 AIUB'!W20</f>
        <v>#REF!</v>
      </c>
      <c r="X20" s="123" t="e">
        <f>'Price Table 8 CS'!X20+'Price Table 8 OHB'!X20+'Price Table 8 Airbus'!X20+'Price Table 8 RUAG'!X20+'Price Table 8 Syderal'!X20+'Price Table 8 APCO'!X20+'Price Table 8 EPFL'!X20+'Price Table 8 AIUB'!X20</f>
        <v>#REF!</v>
      </c>
      <c r="Y20" s="123" t="e">
        <f>'Price Table 8 CS'!Y20+'Price Table 8 OHB'!Y20+'Price Table 8 Airbus'!Y20+'Price Table 8 RUAG'!Y20+'Price Table 8 Syderal'!Y20+'Price Table 8 APCO'!Y20+'Price Table 8 EPFL'!Y20+'Price Table 8 AIUB'!Y20</f>
        <v>#REF!</v>
      </c>
      <c r="Z20" s="123" t="e">
        <f>'Price Table 8 CS'!Z20+'Price Table 8 OHB'!Z20+'Price Table 8 Airbus'!Z20+'Price Table 8 RUAG'!Z20+'Price Table 8 Syderal'!Z20+'Price Table 8 APCO'!Z20+'Price Table 8 EPFL'!Z20+'Price Table 8 AIUB'!Z20</f>
        <v>#REF!</v>
      </c>
      <c r="AA20" s="123" t="e">
        <f>'Price Table 8 CS'!AA20+'Price Table 8 OHB'!AA20+'Price Table 8 Airbus'!AA20+'Price Table 8 RUAG'!AA20+'Price Table 8 Syderal'!AA20+'Price Table 8 APCO'!AA20+'Price Table 8 EPFL'!AA20+'Price Table 8 AIUB'!AA20</f>
        <v>#REF!</v>
      </c>
      <c r="AB20" s="123" t="e">
        <f>'Price Table 8 CS'!AB20+'Price Table 8 OHB'!AB20+'Price Table 8 Airbus'!AB20+'Price Table 8 RUAG'!AB20+'Price Table 8 Syderal'!AB20+'Price Table 8 APCO'!AB20+'Price Table 8 EPFL'!AB20+'Price Table 8 AIUB'!AB20</f>
        <v>#REF!</v>
      </c>
      <c r="AC20" s="123" t="e">
        <f>'Price Table 8 CS'!AC20+'Price Table 8 OHB'!AC20+'Price Table 8 Airbus'!AC20+'Price Table 8 RUAG'!AC20+'Price Table 8 Syderal'!AC20+'Price Table 8 APCO'!AC20+'Price Table 8 EPFL'!AC20+'Price Table 8 AIUB'!AC20</f>
        <v>#REF!</v>
      </c>
      <c r="AD20" s="123" t="e">
        <f>'Price Table 8 CS'!AD20+'Price Table 8 OHB'!AD20+'Price Table 8 Airbus'!AD20+'Price Table 8 RUAG'!AD20+'Price Table 8 Syderal'!AD20+'Price Table 8 APCO'!AD20+'Price Table 8 EPFL'!AD20+'Price Table 8 AIUB'!AD20</f>
        <v>#REF!</v>
      </c>
      <c r="AE20" s="123" t="e">
        <f>'Price Table 8 CS'!AE20+'Price Table 8 OHB'!AE20+'Price Table 8 Airbus'!AE20+'Price Table 8 RUAG'!AE20+'Price Table 8 Syderal'!AE20+'Price Table 8 APCO'!AE20+'Price Table 8 EPFL'!AE20+'Price Table 8 AIUB'!AE20</f>
        <v>#REF!</v>
      </c>
      <c r="AF20" s="123" t="e">
        <f>'Price Table 8 CS'!AF20+'Price Table 8 OHB'!AF20+'Price Table 8 Airbus'!AF20+'Price Table 8 RUAG'!AF20+'Price Table 8 Syderal'!AF20+'Price Table 8 APCO'!AF20+'Price Table 8 EPFL'!AF20+'Price Table 8 AIUB'!AF20</f>
        <v>#REF!</v>
      </c>
      <c r="AG20" s="123" t="e">
        <f>'Price Table 8 CS'!AG20+'Price Table 8 OHB'!AG20+'Price Table 8 Airbus'!AG20+'Price Table 8 RUAG'!AG20+'Price Table 8 Syderal'!AG20+'Price Table 8 APCO'!AG20+'Price Table 8 EPFL'!AG20+'Price Table 8 AIUB'!AG20</f>
        <v>#REF!</v>
      </c>
      <c r="AH20" s="124" t="e">
        <f t="shared" si="0"/>
        <v>#REF!</v>
      </c>
    </row>
    <row r="21" spans="1:39" s="16" customFormat="1">
      <c r="B21" s="45"/>
      <c r="C21" s="55"/>
      <c r="D21" s="56" t="s">
        <v>562</v>
      </c>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row>
    <row r="22" spans="1:39">
      <c r="B22" s="46" t="s">
        <v>570</v>
      </c>
      <c r="C22" s="47"/>
      <c r="D22" s="41"/>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row>
    <row r="23" spans="1:39">
      <c r="B23" s="48" t="s">
        <v>571</v>
      </c>
      <c r="C23" s="49"/>
      <c r="D23" s="50"/>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row>
    <row r="24" spans="1:39">
      <c r="A24" t="s">
        <v>160</v>
      </c>
      <c r="B24" s="51" t="s">
        <v>572</v>
      </c>
      <c r="C24" s="43"/>
      <c r="D24" s="44"/>
      <c r="E24" s="36" t="s">
        <v>139</v>
      </c>
      <c r="F24" s="36" t="s">
        <v>13</v>
      </c>
      <c r="G24" s="36" t="str">
        <f>CONCATENATE(E24,F24)</f>
        <v>TECHManpower</v>
      </c>
      <c r="H24" s="16">
        <v>410000</v>
      </c>
      <c r="J24" s="123" t="e">
        <f>'Price Table 8 CS'!J24+'Price Table 8 OHB'!J24+'Price Table 8 Airbus'!J24+'Price Table 8 RUAG'!J24+'Price Table 8 Syderal'!J24+'Price Table 8 APCO'!J24+'Price Table 8 EPFL'!J24+'Price Table 8 AIUB'!J24</f>
        <v>#REF!</v>
      </c>
      <c r="K24" s="123" t="e">
        <f>'Price Table 8 CS'!K24+'Price Table 8 OHB'!K24+'Price Table 8 Airbus'!K24+'Price Table 8 RUAG'!K24+'Price Table 8 Syderal'!K24+'Price Table 8 APCO'!K24+'Price Table 8 EPFL'!K24+'Price Table 8 AIUB'!K24</f>
        <v>#REF!</v>
      </c>
      <c r="L24" s="123" t="e">
        <f>'Price Table 8 CS'!L24+'Price Table 8 OHB'!L24+'Price Table 8 Airbus'!L24+'Price Table 8 RUAG'!L24+'Price Table 8 Syderal'!L24+'Price Table 8 APCO'!L24+'Price Table 8 EPFL'!L24+'Price Table 8 AIUB'!L24</f>
        <v>#REF!</v>
      </c>
      <c r="M24" s="123" t="e">
        <f>'Price Table 8 CS'!M24+'Price Table 8 OHB'!M24+'Price Table 8 Airbus'!M24+'Price Table 8 RUAG'!M24+'Price Table 8 Syderal'!M24+'Price Table 8 APCO'!M24+'Price Table 8 EPFL'!M24+'Price Table 8 AIUB'!M24</f>
        <v>#REF!</v>
      </c>
      <c r="N24" s="123" t="e">
        <f>'Price Table 8 CS'!N24+'Price Table 8 OHB'!N24+'Price Table 8 Airbus'!N24+'Price Table 8 RUAG'!N24+'Price Table 8 Syderal'!N24+'Price Table 8 APCO'!N24+'Price Table 8 EPFL'!N24+'Price Table 8 AIUB'!N24</f>
        <v>#REF!</v>
      </c>
      <c r="O24" s="123" t="e">
        <f>'Price Table 8 CS'!O24+'Price Table 8 OHB'!O24+'Price Table 8 Airbus'!O24+'Price Table 8 RUAG'!O24+'Price Table 8 Syderal'!O24+'Price Table 8 APCO'!O24+'Price Table 8 EPFL'!O24+'Price Table 8 AIUB'!O24</f>
        <v>#REF!</v>
      </c>
      <c r="P24" s="123" t="e">
        <f>'Price Table 8 CS'!P24+'Price Table 8 OHB'!P24+'Price Table 8 Airbus'!P24+'Price Table 8 RUAG'!P24+'Price Table 8 Syderal'!P24+'Price Table 8 APCO'!P24+'Price Table 8 EPFL'!P24+'Price Table 8 AIUB'!P24</f>
        <v>#REF!</v>
      </c>
      <c r="Q24" s="123" t="e">
        <f>'Price Table 8 CS'!Q24+'Price Table 8 OHB'!Q24+'Price Table 8 Airbus'!Q24+'Price Table 8 RUAG'!Q24+'Price Table 8 Syderal'!Q24+'Price Table 8 APCO'!Q24+'Price Table 8 EPFL'!Q24+'Price Table 8 AIUB'!Q24</f>
        <v>#REF!</v>
      </c>
      <c r="R24" s="123" t="e">
        <f>'Price Table 8 CS'!R24+'Price Table 8 OHB'!R24+'Price Table 8 Airbus'!R24+'Price Table 8 RUAG'!R24+'Price Table 8 Syderal'!R24+'Price Table 8 APCO'!R24+'Price Table 8 EPFL'!R24+'Price Table 8 AIUB'!R24</f>
        <v>#REF!</v>
      </c>
      <c r="S24" s="123" t="e">
        <f>'Price Table 8 CS'!S24+'Price Table 8 OHB'!S24+'Price Table 8 Airbus'!S24+'Price Table 8 RUAG'!S24+'Price Table 8 Syderal'!S24+'Price Table 8 APCO'!S24+'Price Table 8 EPFL'!S24+'Price Table 8 AIUB'!S24</f>
        <v>#REF!</v>
      </c>
      <c r="T24" s="123" t="e">
        <f>'Price Table 8 CS'!T24+'Price Table 8 OHB'!T24+'Price Table 8 Airbus'!T24+'Price Table 8 RUAG'!T24+'Price Table 8 Syderal'!T24+'Price Table 8 APCO'!T24+'Price Table 8 EPFL'!T24+'Price Table 8 AIUB'!T24</f>
        <v>#REF!</v>
      </c>
      <c r="U24" s="123" t="e">
        <f>'Price Table 8 CS'!U24+'Price Table 8 OHB'!U24+'Price Table 8 Airbus'!U24+'Price Table 8 RUAG'!U24+'Price Table 8 Syderal'!U24+'Price Table 8 APCO'!U24+'Price Table 8 EPFL'!U24+'Price Table 8 AIUB'!U24</f>
        <v>#REF!</v>
      </c>
      <c r="V24" s="123" t="e">
        <f>'Price Table 8 CS'!V24+'Price Table 8 OHB'!V24+'Price Table 8 Airbus'!V24+'Price Table 8 RUAG'!V24+'Price Table 8 Syderal'!V24+'Price Table 8 APCO'!V24+'Price Table 8 EPFL'!V24+'Price Table 8 AIUB'!V24</f>
        <v>#REF!</v>
      </c>
      <c r="W24" s="123" t="e">
        <f>'Price Table 8 CS'!W24+'Price Table 8 OHB'!W24+'Price Table 8 Airbus'!W24+'Price Table 8 RUAG'!W24+'Price Table 8 Syderal'!W24+'Price Table 8 APCO'!W24+'Price Table 8 EPFL'!W24+'Price Table 8 AIUB'!W24</f>
        <v>#REF!</v>
      </c>
      <c r="X24" s="123" t="e">
        <f>'Price Table 8 CS'!X24+'Price Table 8 OHB'!X24+'Price Table 8 Airbus'!X24+'Price Table 8 RUAG'!X24+'Price Table 8 Syderal'!X24+'Price Table 8 APCO'!X24+'Price Table 8 EPFL'!X24+'Price Table 8 AIUB'!X24</f>
        <v>#REF!</v>
      </c>
      <c r="Y24" s="123" t="e">
        <f>'Price Table 8 CS'!Y24+'Price Table 8 OHB'!Y24+'Price Table 8 Airbus'!Y24+'Price Table 8 RUAG'!Y24+'Price Table 8 Syderal'!Y24+'Price Table 8 APCO'!Y24+'Price Table 8 EPFL'!Y24+'Price Table 8 AIUB'!Y24</f>
        <v>#REF!</v>
      </c>
      <c r="Z24" s="123" t="e">
        <f>'Price Table 8 CS'!Z24+'Price Table 8 OHB'!Z24+'Price Table 8 Airbus'!Z24+'Price Table 8 RUAG'!Z24+'Price Table 8 Syderal'!Z24+'Price Table 8 APCO'!Z24+'Price Table 8 EPFL'!Z24+'Price Table 8 AIUB'!Z24</f>
        <v>#REF!</v>
      </c>
      <c r="AA24" s="123" t="e">
        <f>'Price Table 8 CS'!AA24+'Price Table 8 OHB'!AA24+'Price Table 8 Airbus'!AA24+'Price Table 8 RUAG'!AA24+'Price Table 8 Syderal'!AA24+'Price Table 8 APCO'!AA24+'Price Table 8 EPFL'!AA24+'Price Table 8 AIUB'!AA24</f>
        <v>#REF!</v>
      </c>
      <c r="AB24" s="123" t="e">
        <f>'Price Table 8 CS'!AB24+'Price Table 8 OHB'!AB24+'Price Table 8 Airbus'!AB24+'Price Table 8 RUAG'!AB24+'Price Table 8 Syderal'!AB24+'Price Table 8 APCO'!AB24+'Price Table 8 EPFL'!AB24+'Price Table 8 AIUB'!AB24</f>
        <v>#REF!</v>
      </c>
      <c r="AC24" s="123" t="e">
        <f>'Price Table 8 CS'!AC24+'Price Table 8 OHB'!AC24+'Price Table 8 Airbus'!AC24+'Price Table 8 RUAG'!AC24+'Price Table 8 Syderal'!AC24+'Price Table 8 APCO'!AC24+'Price Table 8 EPFL'!AC24+'Price Table 8 AIUB'!AC24</f>
        <v>#REF!</v>
      </c>
      <c r="AD24" s="123" t="e">
        <f>'Price Table 8 CS'!AD24+'Price Table 8 OHB'!AD24+'Price Table 8 Airbus'!AD24+'Price Table 8 RUAG'!AD24+'Price Table 8 Syderal'!AD24+'Price Table 8 APCO'!AD24+'Price Table 8 EPFL'!AD24+'Price Table 8 AIUB'!AD24</f>
        <v>#REF!</v>
      </c>
      <c r="AE24" s="123" t="e">
        <f>'Price Table 8 CS'!AE24+'Price Table 8 OHB'!AE24+'Price Table 8 Airbus'!AE24+'Price Table 8 RUAG'!AE24+'Price Table 8 Syderal'!AE24+'Price Table 8 APCO'!AE24+'Price Table 8 EPFL'!AE24+'Price Table 8 AIUB'!AE24</f>
        <v>#REF!</v>
      </c>
      <c r="AF24" s="123" t="e">
        <f>'Price Table 8 CS'!AF24+'Price Table 8 OHB'!AF24+'Price Table 8 Airbus'!AF24+'Price Table 8 RUAG'!AF24+'Price Table 8 Syderal'!AF24+'Price Table 8 APCO'!AF24+'Price Table 8 EPFL'!AF24+'Price Table 8 AIUB'!AF24</f>
        <v>#REF!</v>
      </c>
      <c r="AG24" s="123" t="e">
        <f>'Price Table 8 CS'!AG24+'Price Table 8 OHB'!AG24+'Price Table 8 Airbus'!AG24+'Price Table 8 RUAG'!AG24+'Price Table 8 Syderal'!AG24+'Price Table 8 APCO'!AG24+'Price Table 8 EPFL'!AG24+'Price Table 8 AIUB'!AG24</f>
        <v>#REF!</v>
      </c>
      <c r="AH24" s="124" t="e">
        <f t="shared" si="0"/>
        <v>#REF!</v>
      </c>
    </row>
    <row r="25" spans="1:39">
      <c r="A25" t="s">
        <v>573</v>
      </c>
      <c r="B25" s="51" t="s">
        <v>574</v>
      </c>
      <c r="C25" s="43"/>
      <c r="D25" s="44"/>
      <c r="E25" s="36" t="s">
        <v>14</v>
      </c>
      <c r="F25" s="36" t="s">
        <v>13</v>
      </c>
      <c r="G25" s="36" t="str">
        <f>CONCATENATE(E25,F25)</f>
        <v>MISSIONManpower</v>
      </c>
      <c r="H25" s="16"/>
      <c r="J25" s="123" t="e">
        <f>'Price Table 8 CS'!J25+'Price Table 8 OHB'!J25+'Price Table 8 Airbus'!J25+'Price Table 8 RUAG'!J25+'Price Table 8 Syderal'!J25+'Price Table 8 APCO'!J25+'Price Table 8 EPFL'!J25+'Price Table 8 AIUB'!J25</f>
        <v>#REF!</v>
      </c>
      <c r="K25" s="123" t="e">
        <f>'Price Table 8 CS'!K25+'Price Table 8 OHB'!K25+'Price Table 8 Airbus'!K25+'Price Table 8 RUAG'!K25+'Price Table 8 Syderal'!K25+'Price Table 8 APCO'!K25+'Price Table 8 EPFL'!K25+'Price Table 8 AIUB'!K25</f>
        <v>#REF!</v>
      </c>
      <c r="L25" s="123" t="e">
        <f>'Price Table 8 CS'!L25+'Price Table 8 OHB'!L25+'Price Table 8 Airbus'!L25+'Price Table 8 RUAG'!L25+'Price Table 8 Syderal'!L25+'Price Table 8 APCO'!L25+'Price Table 8 EPFL'!L25+'Price Table 8 AIUB'!L25</f>
        <v>#REF!</v>
      </c>
      <c r="M25" s="123" t="e">
        <f>'Price Table 8 CS'!M25+'Price Table 8 OHB'!M25+'Price Table 8 Airbus'!M25+'Price Table 8 RUAG'!M25+'Price Table 8 Syderal'!M25+'Price Table 8 APCO'!M25+'Price Table 8 EPFL'!M25+'Price Table 8 AIUB'!M25</f>
        <v>#REF!</v>
      </c>
      <c r="N25" s="123" t="e">
        <f>'Price Table 8 CS'!N25+'Price Table 8 OHB'!N25+'Price Table 8 Airbus'!N25+'Price Table 8 RUAG'!N25+'Price Table 8 Syderal'!N25+'Price Table 8 APCO'!N25+'Price Table 8 EPFL'!N25+'Price Table 8 AIUB'!N25</f>
        <v>#REF!</v>
      </c>
      <c r="O25" s="123" t="e">
        <f>'Price Table 8 CS'!O25+'Price Table 8 OHB'!O25+'Price Table 8 Airbus'!O25+'Price Table 8 RUAG'!O25+'Price Table 8 Syderal'!O25+'Price Table 8 APCO'!O25+'Price Table 8 EPFL'!O25+'Price Table 8 AIUB'!O25</f>
        <v>#REF!</v>
      </c>
      <c r="P25" s="123" t="e">
        <f>'Price Table 8 CS'!P25+'Price Table 8 OHB'!P25+'Price Table 8 Airbus'!P25+'Price Table 8 RUAG'!P25+'Price Table 8 Syderal'!P25+'Price Table 8 APCO'!P25+'Price Table 8 EPFL'!P25+'Price Table 8 AIUB'!P25</f>
        <v>#REF!</v>
      </c>
      <c r="Q25" s="123" t="e">
        <f>'Price Table 8 CS'!Q25+'Price Table 8 OHB'!Q25+'Price Table 8 Airbus'!Q25+'Price Table 8 RUAG'!Q25+'Price Table 8 Syderal'!Q25+'Price Table 8 APCO'!Q25+'Price Table 8 EPFL'!Q25+'Price Table 8 AIUB'!Q25</f>
        <v>#REF!</v>
      </c>
      <c r="R25" s="123" t="e">
        <f>'Price Table 8 CS'!R25+'Price Table 8 OHB'!R25+'Price Table 8 Airbus'!R25+'Price Table 8 RUAG'!R25+'Price Table 8 Syderal'!R25+'Price Table 8 APCO'!R25+'Price Table 8 EPFL'!R25+'Price Table 8 AIUB'!R25</f>
        <v>#REF!</v>
      </c>
      <c r="S25" s="123" t="e">
        <f>'Price Table 8 CS'!S25+'Price Table 8 OHB'!S25+'Price Table 8 Airbus'!S25+'Price Table 8 RUAG'!S25+'Price Table 8 Syderal'!S25+'Price Table 8 APCO'!S25+'Price Table 8 EPFL'!S25+'Price Table 8 AIUB'!S25</f>
        <v>#REF!</v>
      </c>
      <c r="T25" s="123" t="e">
        <f>'Price Table 8 CS'!T25+'Price Table 8 OHB'!T25+'Price Table 8 Airbus'!T25+'Price Table 8 RUAG'!T25+'Price Table 8 Syderal'!T25+'Price Table 8 APCO'!T25+'Price Table 8 EPFL'!T25+'Price Table 8 AIUB'!T25</f>
        <v>#REF!</v>
      </c>
      <c r="U25" s="123" t="e">
        <f>'Price Table 8 CS'!U25+'Price Table 8 OHB'!U25+'Price Table 8 Airbus'!U25+'Price Table 8 RUAG'!U25+'Price Table 8 Syderal'!U25+'Price Table 8 APCO'!U25+'Price Table 8 EPFL'!U25+'Price Table 8 AIUB'!U25</f>
        <v>#REF!</v>
      </c>
      <c r="V25" s="123" t="e">
        <f>'Price Table 8 CS'!V25+'Price Table 8 OHB'!V25+'Price Table 8 Airbus'!V25+'Price Table 8 RUAG'!V25+'Price Table 8 Syderal'!V25+'Price Table 8 APCO'!V25+'Price Table 8 EPFL'!V25+'Price Table 8 AIUB'!V25</f>
        <v>#REF!</v>
      </c>
      <c r="W25" s="123" t="e">
        <f>'Price Table 8 CS'!W25+'Price Table 8 OHB'!W25+'Price Table 8 Airbus'!W25+'Price Table 8 RUAG'!W25+'Price Table 8 Syderal'!W25+'Price Table 8 APCO'!W25+'Price Table 8 EPFL'!W25+'Price Table 8 AIUB'!W25</f>
        <v>#REF!</v>
      </c>
      <c r="X25" s="123" t="e">
        <f>'Price Table 8 CS'!X25+'Price Table 8 OHB'!X25+'Price Table 8 Airbus'!X25+'Price Table 8 RUAG'!X25+'Price Table 8 Syderal'!X25+'Price Table 8 APCO'!X25+'Price Table 8 EPFL'!X25+'Price Table 8 AIUB'!X25</f>
        <v>#REF!</v>
      </c>
      <c r="Y25" s="123" t="e">
        <f>'Price Table 8 CS'!Y25+'Price Table 8 OHB'!Y25+'Price Table 8 Airbus'!Y25+'Price Table 8 RUAG'!Y25+'Price Table 8 Syderal'!Y25+'Price Table 8 APCO'!Y25+'Price Table 8 EPFL'!Y25+'Price Table 8 AIUB'!Y25</f>
        <v>#REF!</v>
      </c>
      <c r="Z25" s="123" t="e">
        <f>'Price Table 8 CS'!Z25+'Price Table 8 OHB'!Z25+'Price Table 8 Airbus'!Z25+'Price Table 8 RUAG'!Z25+'Price Table 8 Syderal'!Z25+'Price Table 8 APCO'!Z25+'Price Table 8 EPFL'!Z25+'Price Table 8 AIUB'!Z25</f>
        <v>#REF!</v>
      </c>
      <c r="AA25" s="123" t="e">
        <f>'Price Table 8 CS'!AA25+'Price Table 8 OHB'!AA25+'Price Table 8 Airbus'!AA25+'Price Table 8 RUAG'!AA25+'Price Table 8 Syderal'!AA25+'Price Table 8 APCO'!AA25+'Price Table 8 EPFL'!AA25+'Price Table 8 AIUB'!AA25</f>
        <v>#REF!</v>
      </c>
      <c r="AB25" s="123" t="e">
        <f>'Price Table 8 CS'!AB25+'Price Table 8 OHB'!AB25+'Price Table 8 Airbus'!AB25+'Price Table 8 RUAG'!AB25+'Price Table 8 Syderal'!AB25+'Price Table 8 APCO'!AB25+'Price Table 8 EPFL'!AB25+'Price Table 8 AIUB'!AB25</f>
        <v>#REF!</v>
      </c>
      <c r="AC25" s="123" t="e">
        <f>'Price Table 8 CS'!AC25+'Price Table 8 OHB'!AC25+'Price Table 8 Airbus'!AC25+'Price Table 8 RUAG'!AC25+'Price Table 8 Syderal'!AC25+'Price Table 8 APCO'!AC25+'Price Table 8 EPFL'!AC25+'Price Table 8 AIUB'!AC25</f>
        <v>#REF!</v>
      </c>
      <c r="AD25" s="123" t="e">
        <f>'Price Table 8 CS'!AD25+'Price Table 8 OHB'!AD25+'Price Table 8 Airbus'!AD25+'Price Table 8 RUAG'!AD25+'Price Table 8 Syderal'!AD25+'Price Table 8 APCO'!AD25+'Price Table 8 EPFL'!AD25+'Price Table 8 AIUB'!AD25</f>
        <v>#REF!</v>
      </c>
      <c r="AE25" s="123" t="e">
        <f>'Price Table 8 CS'!AE25+'Price Table 8 OHB'!AE25+'Price Table 8 Airbus'!AE25+'Price Table 8 RUAG'!AE25+'Price Table 8 Syderal'!AE25+'Price Table 8 APCO'!AE25+'Price Table 8 EPFL'!AE25+'Price Table 8 AIUB'!AE25</f>
        <v>#REF!</v>
      </c>
      <c r="AF25" s="123" t="e">
        <f>'Price Table 8 CS'!AF25+'Price Table 8 OHB'!AF25+'Price Table 8 Airbus'!AF25+'Price Table 8 RUAG'!AF25+'Price Table 8 Syderal'!AF25+'Price Table 8 APCO'!AF25+'Price Table 8 EPFL'!AF25+'Price Table 8 AIUB'!AF25</f>
        <v>#REF!</v>
      </c>
      <c r="AG25" s="123" t="e">
        <f>'Price Table 8 CS'!AG25+'Price Table 8 OHB'!AG25+'Price Table 8 Airbus'!AG25+'Price Table 8 RUAG'!AG25+'Price Table 8 Syderal'!AG25+'Price Table 8 APCO'!AG25+'Price Table 8 EPFL'!AG25+'Price Table 8 AIUB'!AG25</f>
        <v>#REF!</v>
      </c>
      <c r="AH25" s="124" t="e">
        <f t="shared" si="0"/>
        <v>#REF!</v>
      </c>
    </row>
    <row r="26" spans="1:39" s="16" customFormat="1">
      <c r="B26" s="45"/>
      <c r="C26" s="55"/>
      <c r="D26" s="56" t="s">
        <v>562</v>
      </c>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row>
    <row r="27" spans="1:39" s="17" customFormat="1">
      <c r="B27" s="515" t="s">
        <v>575</v>
      </c>
      <c r="C27" s="523" t="s">
        <v>641</v>
      </c>
      <c r="D27" s="524"/>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row>
    <row r="28" spans="1:39" s="17" customFormat="1">
      <c r="A28" s="17" t="s">
        <v>180</v>
      </c>
      <c r="B28" s="187" t="s">
        <v>576</v>
      </c>
      <c r="C28" s="188"/>
      <c r="D28" s="186"/>
      <c r="E28" s="189" t="s">
        <v>14</v>
      </c>
      <c r="F28" s="112" t="s">
        <v>13</v>
      </c>
      <c r="G28" s="112" t="str">
        <f>CONCATENATE(E28,F28)</f>
        <v>MISSIONManpower</v>
      </c>
      <c r="H28" s="193">
        <v>430000</v>
      </c>
      <c r="I28" s="191" t="s">
        <v>577</v>
      </c>
      <c r="J28" s="406" t="e">
        <f>'Price Table 8 CS'!J28+'Price Table 8 OHB'!J28+'Price Table 8 Airbus'!J28+'Price Table 8 RUAG'!J28+'Price Table 8 Syderal'!J28+'Price Table 8 APCO'!J28+'Price Table 8 EPFL'!J28+'Price Table 8 AIUB'!J28</f>
        <v>#REF!</v>
      </c>
      <c r="K28" s="406" t="e">
        <f>'Price Table 8 CS'!K28+'Price Table 8 OHB'!K28+'Price Table 8 Airbus'!K28+'Price Table 8 RUAG'!K28+'Price Table 8 Syderal'!K28+'Price Table 8 APCO'!K28+'Price Table 8 EPFL'!K28+'Price Table 8 AIUB'!K28</f>
        <v>#REF!</v>
      </c>
      <c r="L28" s="406" t="e">
        <f>'Price Table 8 CS'!L28+'Price Table 8 OHB'!L28+'Price Table 8 Airbus'!L28+'Price Table 8 RUAG'!L28+'Price Table 8 Syderal'!L28+'Price Table 8 APCO'!L28+'Price Table 8 EPFL'!L28+'Price Table 8 AIUB'!L28</f>
        <v>#REF!</v>
      </c>
      <c r="M28" s="406" t="e">
        <f>'Price Table 8 CS'!M28+'Price Table 8 OHB'!M28+'Price Table 8 Airbus'!M28+'Price Table 8 RUAG'!M28+'Price Table 8 Syderal'!M28+'Price Table 8 APCO'!M28+'Price Table 8 EPFL'!M28+'Price Table 8 AIUB'!M28</f>
        <v>#REF!</v>
      </c>
      <c r="N28" s="406" t="e">
        <f>'Price Table 8 CS'!N28+'Price Table 8 OHB'!N28+'Price Table 8 Airbus'!N28+'Price Table 8 RUAG'!N28+'Price Table 8 Syderal'!N28+'Price Table 8 APCO'!N28+'Price Table 8 EPFL'!N28+'Price Table 8 AIUB'!N28</f>
        <v>#REF!</v>
      </c>
      <c r="O28" s="406" t="e">
        <f>'Price Table 8 CS'!O28+'Price Table 8 OHB'!O28+'Price Table 8 Airbus'!O28+'Price Table 8 RUAG'!O28+'Price Table 8 Syderal'!O28+'Price Table 8 APCO'!O28+'Price Table 8 EPFL'!O28+'Price Table 8 AIUB'!O28</f>
        <v>#REF!</v>
      </c>
      <c r="P28" s="406" t="e">
        <f>'Price Table 8 CS'!P28+'Price Table 8 OHB'!P28+'Price Table 8 Airbus'!P28+'Price Table 8 RUAG'!P28+'Price Table 8 Syderal'!P28+'Price Table 8 APCO'!P28+'Price Table 8 EPFL'!P28+'Price Table 8 AIUB'!P28</f>
        <v>#REF!</v>
      </c>
      <c r="Q28" s="406" t="e">
        <f>'Price Table 8 CS'!Q28+'Price Table 8 OHB'!Q28+'Price Table 8 Airbus'!Q28+'Price Table 8 RUAG'!Q28+'Price Table 8 Syderal'!Q28+'Price Table 8 APCO'!Q28+'Price Table 8 EPFL'!Q28+'Price Table 8 AIUB'!Q28</f>
        <v>#REF!</v>
      </c>
      <c r="R28" s="406" t="e">
        <f>'Price Table 8 CS'!R28+'Price Table 8 OHB'!R28+'Price Table 8 Airbus'!R28+'Price Table 8 RUAG'!R28+'Price Table 8 Syderal'!R28+'Price Table 8 APCO'!R28+'Price Table 8 EPFL'!R28+'Price Table 8 AIUB'!R28</f>
        <v>#REF!</v>
      </c>
      <c r="S28" s="406" t="e">
        <f>'Price Table 8 CS'!S28+'Price Table 8 OHB'!S28+'Price Table 8 Airbus'!S28+'Price Table 8 RUAG'!S28+'Price Table 8 Syderal'!S28+'Price Table 8 APCO'!S28+'Price Table 8 EPFL'!S28+'Price Table 8 AIUB'!S28</f>
        <v>#REF!</v>
      </c>
      <c r="T28" s="406" t="e">
        <f>'Price Table 8 CS'!T28+'Price Table 8 OHB'!T28+'Price Table 8 Airbus'!T28+'Price Table 8 RUAG'!T28+'Price Table 8 Syderal'!T28+'Price Table 8 APCO'!T28+'Price Table 8 EPFL'!T28+'Price Table 8 AIUB'!T28</f>
        <v>#REF!</v>
      </c>
      <c r="U28" s="406" t="e">
        <f>'Price Table 8 CS'!U28+'Price Table 8 OHB'!U28+'Price Table 8 Airbus'!U28+'Price Table 8 RUAG'!U28+'Price Table 8 Syderal'!U28+'Price Table 8 APCO'!U28+'Price Table 8 EPFL'!U28+'Price Table 8 AIUB'!U28</f>
        <v>#REF!</v>
      </c>
      <c r="V28" s="406" t="e">
        <f>'Price Table 8 CS'!V28+'Price Table 8 OHB'!V28+'Price Table 8 Airbus'!V28+'Price Table 8 RUAG'!V28+'Price Table 8 Syderal'!V28+'Price Table 8 APCO'!V28+'Price Table 8 EPFL'!V28+'Price Table 8 AIUB'!V28</f>
        <v>#REF!</v>
      </c>
      <c r="W28" s="406" t="e">
        <f>'Price Table 8 CS'!W28+'Price Table 8 OHB'!W28+'Price Table 8 Airbus'!W28+'Price Table 8 RUAG'!W28+'Price Table 8 Syderal'!W28+'Price Table 8 APCO'!W28+'Price Table 8 EPFL'!W28+'Price Table 8 AIUB'!W28</f>
        <v>#REF!</v>
      </c>
      <c r="X28" s="406" t="e">
        <f>'Price Table 8 CS'!X28+'Price Table 8 OHB'!X28+'Price Table 8 Airbus'!X28+'Price Table 8 RUAG'!X28+'Price Table 8 Syderal'!X28+'Price Table 8 APCO'!X28+'Price Table 8 EPFL'!X28+'Price Table 8 AIUB'!X28</f>
        <v>#REF!</v>
      </c>
      <c r="Y28" s="406" t="e">
        <f>'Price Table 8 CS'!Y28+'Price Table 8 OHB'!Y28+'Price Table 8 Airbus'!Y28+'Price Table 8 RUAG'!Y28+'Price Table 8 Syderal'!Y28+'Price Table 8 APCO'!Y28+'Price Table 8 EPFL'!Y28+'Price Table 8 AIUB'!Y28</f>
        <v>#REF!</v>
      </c>
      <c r="Z28" s="406" t="e">
        <f>'Price Table 8 CS'!Z28+'Price Table 8 OHB'!Z28+'Price Table 8 Airbus'!Z28+'Price Table 8 RUAG'!Z28+'Price Table 8 Syderal'!Z28+'Price Table 8 APCO'!Z28+'Price Table 8 EPFL'!Z28+'Price Table 8 AIUB'!Z28</f>
        <v>#REF!</v>
      </c>
      <c r="AA28" s="406" t="e">
        <f>'Price Table 8 CS'!AA28+'Price Table 8 OHB'!AA28+'Price Table 8 Airbus'!AA28+'Price Table 8 RUAG'!AA28+'Price Table 8 Syderal'!AA28+'Price Table 8 APCO'!AA28+'Price Table 8 EPFL'!AA28+'Price Table 8 AIUB'!AA28</f>
        <v>#REF!</v>
      </c>
      <c r="AB28" s="406" t="e">
        <f>'Price Table 8 CS'!AB28+'Price Table 8 OHB'!AB28+'Price Table 8 Airbus'!AB28+'Price Table 8 RUAG'!AB28+'Price Table 8 Syderal'!AB28+'Price Table 8 APCO'!AB28+'Price Table 8 EPFL'!AB28+'Price Table 8 AIUB'!AB28</f>
        <v>#REF!</v>
      </c>
      <c r="AC28" s="406" t="e">
        <f>'Price Table 8 CS'!AC28+'Price Table 8 OHB'!AC28+'Price Table 8 Airbus'!AC28+'Price Table 8 RUAG'!AC28+'Price Table 8 Syderal'!AC28+'Price Table 8 APCO'!AC28+'Price Table 8 EPFL'!AC28+'Price Table 8 AIUB'!AC28</f>
        <v>#REF!</v>
      </c>
      <c r="AD28" s="406" t="e">
        <f>'Price Table 8 CS'!AD28+'Price Table 8 OHB'!AD28+'Price Table 8 Airbus'!AD28+'Price Table 8 RUAG'!AD28+'Price Table 8 Syderal'!AD28+'Price Table 8 APCO'!AD28+'Price Table 8 EPFL'!AD28+'Price Table 8 AIUB'!AD28</f>
        <v>#REF!</v>
      </c>
      <c r="AE28" s="406" t="e">
        <f>'Price Table 8 CS'!AE28+'Price Table 8 OHB'!AE28+'Price Table 8 Airbus'!AE28+'Price Table 8 RUAG'!AE28+'Price Table 8 Syderal'!AE28+'Price Table 8 APCO'!AE28+'Price Table 8 EPFL'!AE28+'Price Table 8 AIUB'!AE28</f>
        <v>#REF!</v>
      </c>
      <c r="AF28" s="406" t="e">
        <f>'Price Table 8 CS'!AF28+'Price Table 8 OHB'!AF28+'Price Table 8 Airbus'!AF28+'Price Table 8 RUAG'!AF28+'Price Table 8 Syderal'!AF28+'Price Table 8 APCO'!AF28+'Price Table 8 EPFL'!AF28+'Price Table 8 AIUB'!AF28</f>
        <v>#REF!</v>
      </c>
      <c r="AG28" s="406" t="e">
        <f>'Price Table 8 CS'!AG28+'Price Table 8 OHB'!AG28+'Price Table 8 Airbus'!AG28+'Price Table 8 RUAG'!AG28+'Price Table 8 Syderal'!AG28+'Price Table 8 APCO'!AG28+'Price Table 8 EPFL'!AG28+'Price Table 8 AIUB'!AG28</f>
        <v>#REF!</v>
      </c>
      <c r="AH28" s="518" t="e">
        <f t="shared" si="0"/>
        <v>#REF!</v>
      </c>
    </row>
    <row r="29" spans="1:39" s="17" customFormat="1">
      <c r="A29" s="17" t="s">
        <v>578</v>
      </c>
      <c r="B29" s="187" t="s">
        <v>579</v>
      </c>
      <c r="C29" s="188"/>
      <c r="D29" s="186"/>
      <c r="E29" s="189" t="s">
        <v>14</v>
      </c>
      <c r="F29" s="112" t="s">
        <v>117</v>
      </c>
      <c r="G29" s="112" t="str">
        <f>CONCATENATE(E29,F29)</f>
        <v>MISSIONProcurement</v>
      </c>
      <c r="H29" s="107">
        <v>430000</v>
      </c>
      <c r="I29" s="191" t="s">
        <v>577</v>
      </c>
      <c r="J29" s="406" t="e">
        <f>'Price Table 8 CS'!J29+'Price Table 8 OHB'!J29+'Price Table 8 Airbus'!J29+'Price Table 8 RUAG'!J29+'Price Table 8 Syderal'!J29+'Price Table 8 APCO'!J29+'Price Table 8 EPFL'!J29+'Price Table 8 AIUB'!J29</f>
        <v>#REF!</v>
      </c>
      <c r="K29" s="406" t="e">
        <f>'Price Table 8 CS'!K29+'Price Table 8 OHB'!K29+'Price Table 8 Airbus'!K29+'Price Table 8 RUAG'!K29+'Price Table 8 Syderal'!K29+'Price Table 8 APCO'!K29+'Price Table 8 EPFL'!K29+'Price Table 8 AIUB'!K29</f>
        <v>#REF!</v>
      </c>
      <c r="L29" s="406" t="e">
        <f>'Price Table 8 CS'!L29+'Price Table 8 OHB'!L29+'Price Table 8 Airbus'!L29+'Price Table 8 RUAG'!L29+'Price Table 8 Syderal'!L29+'Price Table 8 APCO'!L29+'Price Table 8 EPFL'!L29+'Price Table 8 AIUB'!L29</f>
        <v>#REF!</v>
      </c>
      <c r="M29" s="406" t="e">
        <f>'Price Table 8 CS'!M29+'Price Table 8 OHB'!M29+'Price Table 8 Airbus'!M29+'Price Table 8 RUAG'!M29+'Price Table 8 Syderal'!M29+'Price Table 8 APCO'!M29+'Price Table 8 EPFL'!M29+'Price Table 8 AIUB'!M29</f>
        <v>#REF!</v>
      </c>
      <c r="N29" s="406" t="e">
        <f>'Price Table 8 CS'!N29+'Price Table 8 OHB'!N29+'Price Table 8 Airbus'!N29+'Price Table 8 RUAG'!N29+'Price Table 8 Syderal'!N29+'Price Table 8 APCO'!N29+'Price Table 8 EPFL'!N29+'Price Table 8 AIUB'!N29</f>
        <v>#REF!</v>
      </c>
      <c r="O29" s="406" t="e">
        <f>'Price Table 8 CS'!O29+'Price Table 8 OHB'!O29+'Price Table 8 Airbus'!O29+'Price Table 8 RUAG'!O29+'Price Table 8 Syderal'!O29+'Price Table 8 APCO'!O29+'Price Table 8 EPFL'!O29+'Price Table 8 AIUB'!O29</f>
        <v>#REF!</v>
      </c>
      <c r="P29" s="406" t="e">
        <f>'Price Table 8 CS'!P29+'Price Table 8 OHB'!P29+'Price Table 8 Airbus'!P29+'Price Table 8 RUAG'!P29+'Price Table 8 Syderal'!P29+'Price Table 8 APCO'!P29+'Price Table 8 EPFL'!P29+'Price Table 8 AIUB'!P29</f>
        <v>#REF!</v>
      </c>
      <c r="Q29" s="406" t="e">
        <f>'Price Table 8 CS'!Q29+'Price Table 8 OHB'!Q29+'Price Table 8 Airbus'!Q29+'Price Table 8 RUAG'!Q29+'Price Table 8 Syderal'!Q29+'Price Table 8 APCO'!Q29+'Price Table 8 EPFL'!Q29+'Price Table 8 AIUB'!Q29</f>
        <v>#REF!</v>
      </c>
      <c r="R29" s="406" t="e">
        <f>'Price Table 8 CS'!R29+'Price Table 8 OHB'!R29+'Price Table 8 Airbus'!R29+'Price Table 8 RUAG'!R29+'Price Table 8 Syderal'!R29+'Price Table 8 APCO'!R29+'Price Table 8 EPFL'!R29+'Price Table 8 AIUB'!R29</f>
        <v>#REF!</v>
      </c>
      <c r="S29" s="406" t="e">
        <f>'Price Table 8 CS'!S29+'Price Table 8 OHB'!S29+'Price Table 8 Airbus'!S29+'Price Table 8 RUAG'!S29+'Price Table 8 Syderal'!S29+'Price Table 8 APCO'!S29+'Price Table 8 EPFL'!S29+'Price Table 8 AIUB'!S29</f>
        <v>#REF!</v>
      </c>
      <c r="T29" s="406" t="e">
        <f>'Price Table 8 CS'!T29+'Price Table 8 OHB'!T29+'Price Table 8 Airbus'!T29+'Price Table 8 RUAG'!T29+'Price Table 8 Syderal'!T29+'Price Table 8 APCO'!T29+'Price Table 8 EPFL'!T29+'Price Table 8 AIUB'!T29</f>
        <v>#REF!</v>
      </c>
      <c r="U29" s="406" t="e">
        <f>'Price Table 8 CS'!U29+'Price Table 8 OHB'!U29+'Price Table 8 Airbus'!U29+'Price Table 8 RUAG'!U29+'Price Table 8 Syderal'!U29+'Price Table 8 APCO'!U29+'Price Table 8 EPFL'!U29+'Price Table 8 AIUB'!U29</f>
        <v>#REF!</v>
      </c>
      <c r="V29" s="406" t="e">
        <f>'Price Table 8 CS'!V29+'Price Table 8 OHB'!V29+'Price Table 8 Airbus'!V29+'Price Table 8 RUAG'!V29+'Price Table 8 Syderal'!V29+'Price Table 8 APCO'!V29+'Price Table 8 EPFL'!V29+'Price Table 8 AIUB'!V29</f>
        <v>#REF!</v>
      </c>
      <c r="W29" s="406" t="e">
        <f>'Price Table 8 CS'!W29+'Price Table 8 OHB'!W29+'Price Table 8 Airbus'!W29+'Price Table 8 RUAG'!W29+'Price Table 8 Syderal'!W29+'Price Table 8 APCO'!W29+'Price Table 8 EPFL'!W29+'Price Table 8 AIUB'!W29</f>
        <v>#REF!</v>
      </c>
      <c r="X29" s="406" t="e">
        <f>'Price Table 8 CS'!X29+'Price Table 8 OHB'!X29+'Price Table 8 Airbus'!X29+'Price Table 8 RUAG'!X29+'Price Table 8 Syderal'!X29+'Price Table 8 APCO'!X29+'Price Table 8 EPFL'!X29+'Price Table 8 AIUB'!X29</f>
        <v>#REF!</v>
      </c>
      <c r="Y29" s="406" t="e">
        <f>'Price Table 8 CS'!Y29+'Price Table 8 OHB'!Y29+'Price Table 8 Airbus'!Y29+'Price Table 8 RUAG'!Y29+'Price Table 8 Syderal'!Y29+'Price Table 8 APCO'!Y29+'Price Table 8 EPFL'!Y29+'Price Table 8 AIUB'!Y29</f>
        <v>#REF!</v>
      </c>
      <c r="Z29" s="406" t="e">
        <f>'Price Table 8 CS'!Z29+'Price Table 8 OHB'!Z29+'Price Table 8 Airbus'!Z29+'Price Table 8 RUAG'!Z29+'Price Table 8 Syderal'!Z29+'Price Table 8 APCO'!Z29+'Price Table 8 EPFL'!Z29+'Price Table 8 AIUB'!Z29</f>
        <v>#REF!</v>
      </c>
      <c r="AA29" s="406" t="e">
        <f>'Price Table 8 CS'!AA29+'Price Table 8 OHB'!AA29+'Price Table 8 Airbus'!AA29+'Price Table 8 RUAG'!AA29+'Price Table 8 Syderal'!AA29+'Price Table 8 APCO'!AA29+'Price Table 8 EPFL'!AA29+'Price Table 8 AIUB'!AA29</f>
        <v>#REF!</v>
      </c>
      <c r="AB29" s="406" t="e">
        <f>'Price Table 8 CS'!AB29+'Price Table 8 OHB'!AB29+'Price Table 8 Airbus'!AB29+'Price Table 8 RUAG'!AB29+'Price Table 8 Syderal'!AB29+'Price Table 8 APCO'!AB29+'Price Table 8 EPFL'!AB29+'Price Table 8 AIUB'!AB29</f>
        <v>#REF!</v>
      </c>
      <c r="AC29" s="406" t="e">
        <f>'Price Table 8 CS'!AC29+'Price Table 8 OHB'!AC29+'Price Table 8 Airbus'!AC29+'Price Table 8 RUAG'!AC29+'Price Table 8 Syderal'!AC29+'Price Table 8 APCO'!AC29+'Price Table 8 EPFL'!AC29+'Price Table 8 AIUB'!AC29</f>
        <v>#REF!</v>
      </c>
      <c r="AD29" s="406" t="e">
        <f>'Price Table 8 CS'!AD29+'Price Table 8 OHB'!AD29+'Price Table 8 Airbus'!AD29+'Price Table 8 RUAG'!AD29+'Price Table 8 Syderal'!AD29+'Price Table 8 APCO'!AD29+'Price Table 8 EPFL'!AD29+'Price Table 8 AIUB'!AD29</f>
        <v>#REF!</v>
      </c>
      <c r="AE29" s="406" t="e">
        <f>'Price Table 8 CS'!AE29+'Price Table 8 OHB'!AE29+'Price Table 8 Airbus'!AE29+'Price Table 8 RUAG'!AE29+'Price Table 8 Syderal'!AE29+'Price Table 8 APCO'!AE29+'Price Table 8 EPFL'!AE29+'Price Table 8 AIUB'!AE29</f>
        <v>#REF!</v>
      </c>
      <c r="AF29" s="406" t="e">
        <f>'Price Table 8 CS'!AF29+'Price Table 8 OHB'!AF29+'Price Table 8 Airbus'!AF29+'Price Table 8 RUAG'!AF29+'Price Table 8 Syderal'!AF29+'Price Table 8 APCO'!AF29+'Price Table 8 EPFL'!AF29+'Price Table 8 AIUB'!AF29</f>
        <v>#REF!</v>
      </c>
      <c r="AG29" s="406" t="e">
        <f>'Price Table 8 CS'!AG29+'Price Table 8 OHB'!AG29+'Price Table 8 Airbus'!AG29+'Price Table 8 RUAG'!AG29+'Price Table 8 Syderal'!AG29+'Price Table 8 APCO'!AG29+'Price Table 8 EPFL'!AG29+'Price Table 8 AIUB'!AG29</f>
        <v>#REF!</v>
      </c>
      <c r="AH29" s="518" t="e">
        <f t="shared" si="0"/>
        <v>#REF!</v>
      </c>
    </row>
    <row r="30" spans="1:39" s="94" customFormat="1">
      <c r="B30" s="519"/>
      <c r="C30" s="520"/>
      <c r="D30" s="521" t="s">
        <v>562</v>
      </c>
      <c r="E30" s="522"/>
      <c r="F30" s="522"/>
      <c r="G30" s="522"/>
      <c r="H30" s="522"/>
      <c r="I30" s="522"/>
      <c r="J30" s="522"/>
      <c r="K30" s="522"/>
      <c r="L30" s="522"/>
      <c r="M30" s="522"/>
      <c r="N30" s="52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522"/>
      <c r="AL30" s="522"/>
      <c r="AM30" s="522"/>
    </row>
    <row r="31" spans="1:39" s="17" customFormat="1">
      <c r="B31" s="515" t="s">
        <v>580</v>
      </c>
      <c r="C31" s="516"/>
      <c r="D31" s="517"/>
      <c r="E31" s="189"/>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row>
    <row r="32" spans="1:39" s="17" customFormat="1">
      <c r="A32" s="17" t="s">
        <v>173</v>
      </c>
      <c r="B32" s="187" t="s">
        <v>581</v>
      </c>
      <c r="C32" s="188"/>
      <c r="D32" s="186"/>
      <c r="E32" s="189" t="s">
        <v>14</v>
      </c>
      <c r="F32" s="112" t="s">
        <v>13</v>
      </c>
      <c r="G32" s="112" t="str">
        <f>CONCATENATE(E32,F32)</f>
        <v>MISSIONManpower</v>
      </c>
      <c r="H32" s="190">
        <v>420000</v>
      </c>
      <c r="I32" s="191" t="s">
        <v>577</v>
      </c>
      <c r="J32" s="406" t="e">
        <f>'Price Table 8 CS'!J32+'Price Table 8 OHB'!J32+'Price Table 8 Airbus'!J32+'Price Table 8 RUAG'!J32+'Price Table 8 Syderal'!J32+'Price Table 8 APCO'!J32+'Price Table 8 EPFL'!J32+'Price Table 8 AIUB'!J32</f>
        <v>#REF!</v>
      </c>
      <c r="K32" s="406" t="e">
        <f>'Price Table 8 CS'!K32+'Price Table 8 OHB'!K32+'Price Table 8 Airbus'!K32+'Price Table 8 RUAG'!K32+'Price Table 8 Syderal'!K32+'Price Table 8 APCO'!K32+'Price Table 8 EPFL'!K32+'Price Table 8 AIUB'!K32</f>
        <v>#REF!</v>
      </c>
      <c r="L32" s="406" t="e">
        <f>'Price Table 8 CS'!L32+'Price Table 8 OHB'!L32+'Price Table 8 Airbus'!L32+'Price Table 8 RUAG'!L32+'Price Table 8 Syderal'!L32+'Price Table 8 APCO'!L32+'Price Table 8 EPFL'!L32+'Price Table 8 AIUB'!L32</f>
        <v>#REF!</v>
      </c>
      <c r="M32" s="406" t="e">
        <f>'Price Table 8 CS'!M32+'Price Table 8 OHB'!M32+'Price Table 8 Airbus'!M32+'Price Table 8 RUAG'!M32+'Price Table 8 Syderal'!M32+'Price Table 8 APCO'!M32+'Price Table 8 EPFL'!M32+'Price Table 8 AIUB'!M32</f>
        <v>#REF!</v>
      </c>
      <c r="N32" s="406" t="e">
        <f>'Price Table 8 CS'!N32+'Price Table 8 OHB'!N32+'Price Table 8 Airbus'!N32+'Price Table 8 RUAG'!N32+'Price Table 8 Syderal'!N32+'Price Table 8 APCO'!N32+'Price Table 8 EPFL'!N32+'Price Table 8 AIUB'!N32</f>
        <v>#REF!</v>
      </c>
      <c r="O32" s="406" t="e">
        <f>'Price Table 8 CS'!O32+'Price Table 8 OHB'!O32+'Price Table 8 Airbus'!O32+'Price Table 8 RUAG'!O32+'Price Table 8 Syderal'!O32+'Price Table 8 APCO'!O32+'Price Table 8 EPFL'!O32+'Price Table 8 AIUB'!O32</f>
        <v>#REF!</v>
      </c>
      <c r="P32" s="406" t="e">
        <f>'Price Table 8 CS'!P32+'Price Table 8 OHB'!P32+'Price Table 8 Airbus'!P32+'Price Table 8 RUAG'!P32+'Price Table 8 Syderal'!P32+'Price Table 8 APCO'!P32+'Price Table 8 EPFL'!P32+'Price Table 8 AIUB'!P32</f>
        <v>#REF!</v>
      </c>
      <c r="Q32" s="406" t="e">
        <f>'Price Table 8 CS'!Q32+'Price Table 8 OHB'!Q32+'Price Table 8 Airbus'!Q32+'Price Table 8 RUAG'!Q32+'Price Table 8 Syderal'!Q32+'Price Table 8 APCO'!Q32+'Price Table 8 EPFL'!Q32+'Price Table 8 AIUB'!Q32</f>
        <v>#REF!</v>
      </c>
      <c r="R32" s="406" t="e">
        <f>'Price Table 8 CS'!R32+'Price Table 8 OHB'!R32+'Price Table 8 Airbus'!R32+'Price Table 8 RUAG'!R32+'Price Table 8 Syderal'!R32+'Price Table 8 APCO'!R32+'Price Table 8 EPFL'!R32+'Price Table 8 AIUB'!R32</f>
        <v>#REF!</v>
      </c>
      <c r="S32" s="406" t="e">
        <f>'Price Table 8 CS'!S32+'Price Table 8 OHB'!S32+'Price Table 8 Airbus'!S32+'Price Table 8 RUAG'!S32+'Price Table 8 Syderal'!S32+'Price Table 8 APCO'!S32+'Price Table 8 EPFL'!S32+'Price Table 8 AIUB'!S32</f>
        <v>#REF!</v>
      </c>
      <c r="T32" s="406" t="e">
        <f>'Price Table 8 CS'!T32+'Price Table 8 OHB'!T32+'Price Table 8 Airbus'!T32+'Price Table 8 RUAG'!T32+'Price Table 8 Syderal'!T32+'Price Table 8 APCO'!T32+'Price Table 8 EPFL'!T32+'Price Table 8 AIUB'!T32</f>
        <v>#REF!</v>
      </c>
      <c r="U32" s="406" t="e">
        <f>'Price Table 8 CS'!U32+'Price Table 8 OHB'!U32+'Price Table 8 Airbus'!U32+'Price Table 8 RUAG'!U32+'Price Table 8 Syderal'!U32+'Price Table 8 APCO'!U32+'Price Table 8 EPFL'!U32+'Price Table 8 AIUB'!U32</f>
        <v>#REF!</v>
      </c>
      <c r="V32" s="406" t="e">
        <f>'Price Table 8 CS'!V32+'Price Table 8 OHB'!V32+'Price Table 8 Airbus'!V32+'Price Table 8 RUAG'!V32+'Price Table 8 Syderal'!V32+'Price Table 8 APCO'!V32+'Price Table 8 EPFL'!V32+'Price Table 8 AIUB'!V32</f>
        <v>#REF!</v>
      </c>
      <c r="W32" s="406" t="e">
        <f>'Price Table 8 CS'!W32+'Price Table 8 OHB'!W32+'Price Table 8 Airbus'!W32+'Price Table 8 RUAG'!W32+'Price Table 8 Syderal'!W32+'Price Table 8 APCO'!W32+'Price Table 8 EPFL'!W32+'Price Table 8 AIUB'!W32</f>
        <v>#REF!</v>
      </c>
      <c r="X32" s="406" t="e">
        <f>'Price Table 8 CS'!X32+'Price Table 8 OHB'!X32+'Price Table 8 Airbus'!X32+'Price Table 8 RUAG'!X32+'Price Table 8 Syderal'!X32+'Price Table 8 APCO'!X32+'Price Table 8 EPFL'!X32+'Price Table 8 AIUB'!X32</f>
        <v>#REF!</v>
      </c>
      <c r="Y32" s="406" t="e">
        <f>'Price Table 8 CS'!Y32+'Price Table 8 OHB'!Y32+'Price Table 8 Airbus'!Y32+'Price Table 8 RUAG'!Y32+'Price Table 8 Syderal'!Y32+'Price Table 8 APCO'!Y32+'Price Table 8 EPFL'!Y32+'Price Table 8 AIUB'!Y32</f>
        <v>#REF!</v>
      </c>
      <c r="Z32" s="406" t="e">
        <f>'Price Table 8 CS'!Z32+'Price Table 8 OHB'!Z32+'Price Table 8 Airbus'!Z32+'Price Table 8 RUAG'!Z32+'Price Table 8 Syderal'!Z32+'Price Table 8 APCO'!Z32+'Price Table 8 EPFL'!Z32+'Price Table 8 AIUB'!Z32</f>
        <v>#REF!</v>
      </c>
      <c r="AA32" s="406" t="e">
        <f>'Price Table 8 CS'!AA32+'Price Table 8 OHB'!AA32+'Price Table 8 Airbus'!AA32+'Price Table 8 RUAG'!AA32+'Price Table 8 Syderal'!AA32+'Price Table 8 APCO'!AA32+'Price Table 8 EPFL'!AA32+'Price Table 8 AIUB'!AA32</f>
        <v>#REF!</v>
      </c>
      <c r="AB32" s="406" t="e">
        <f>'Price Table 8 CS'!AB32+'Price Table 8 OHB'!AB32+'Price Table 8 Airbus'!AB32+'Price Table 8 RUAG'!AB32+'Price Table 8 Syderal'!AB32+'Price Table 8 APCO'!AB32+'Price Table 8 EPFL'!AB32+'Price Table 8 AIUB'!AB32</f>
        <v>#REF!</v>
      </c>
      <c r="AC32" s="406" t="e">
        <f>'Price Table 8 CS'!AC32+'Price Table 8 OHB'!AC32+'Price Table 8 Airbus'!AC32+'Price Table 8 RUAG'!AC32+'Price Table 8 Syderal'!AC32+'Price Table 8 APCO'!AC32+'Price Table 8 EPFL'!AC32+'Price Table 8 AIUB'!AC32</f>
        <v>#REF!</v>
      </c>
      <c r="AD32" s="406" t="e">
        <f>'Price Table 8 CS'!AD32+'Price Table 8 OHB'!AD32+'Price Table 8 Airbus'!AD32+'Price Table 8 RUAG'!AD32+'Price Table 8 Syderal'!AD32+'Price Table 8 APCO'!AD32+'Price Table 8 EPFL'!AD32+'Price Table 8 AIUB'!AD32</f>
        <v>#REF!</v>
      </c>
      <c r="AE32" s="406" t="e">
        <f>'Price Table 8 CS'!AE32+'Price Table 8 OHB'!AE32+'Price Table 8 Airbus'!AE32+'Price Table 8 RUAG'!AE32+'Price Table 8 Syderal'!AE32+'Price Table 8 APCO'!AE32+'Price Table 8 EPFL'!AE32+'Price Table 8 AIUB'!AE32</f>
        <v>#REF!</v>
      </c>
      <c r="AF32" s="406" t="e">
        <f>'Price Table 8 CS'!AF32+'Price Table 8 OHB'!AF32+'Price Table 8 Airbus'!AF32+'Price Table 8 RUAG'!AF32+'Price Table 8 Syderal'!AF32+'Price Table 8 APCO'!AF32+'Price Table 8 EPFL'!AF32+'Price Table 8 AIUB'!AF32</f>
        <v>#REF!</v>
      </c>
      <c r="AG32" s="406" t="e">
        <f>'Price Table 8 CS'!AG32+'Price Table 8 OHB'!AG32+'Price Table 8 Airbus'!AG32+'Price Table 8 RUAG'!AG32+'Price Table 8 Syderal'!AG32+'Price Table 8 APCO'!AG32+'Price Table 8 EPFL'!AG32+'Price Table 8 AIUB'!AG32</f>
        <v>#REF!</v>
      </c>
      <c r="AH32" s="518" t="e">
        <f t="shared" si="0"/>
        <v>#REF!</v>
      </c>
    </row>
    <row r="33" spans="1:39" s="17" customFormat="1">
      <c r="A33" s="17" t="s">
        <v>582</v>
      </c>
      <c r="B33" s="187" t="s">
        <v>583</v>
      </c>
      <c r="C33" s="188"/>
      <c r="D33" s="186"/>
      <c r="E33" s="189" t="s">
        <v>14</v>
      </c>
      <c r="F33" s="112" t="s">
        <v>117</v>
      </c>
      <c r="G33" s="112" t="str">
        <f>CONCATENATE(E33,F33)</f>
        <v>MISSIONProcurement</v>
      </c>
      <c r="H33" s="190">
        <v>420000</v>
      </c>
      <c r="I33" s="191" t="s">
        <v>577</v>
      </c>
      <c r="J33" s="406" t="e">
        <f>'Price Table 8 CS'!J33+'Price Table 8 OHB'!J33+'Price Table 8 Airbus'!J33+'Price Table 8 RUAG'!J33+'Price Table 8 Syderal'!J33+'Price Table 8 APCO'!J33+'Price Table 8 EPFL'!J33+'Price Table 8 AIUB'!J33</f>
        <v>#REF!</v>
      </c>
      <c r="K33" s="406" t="e">
        <f>'Price Table 8 CS'!K33+'Price Table 8 OHB'!K33+'Price Table 8 Airbus'!K33+'Price Table 8 RUAG'!K33+'Price Table 8 Syderal'!K33+'Price Table 8 APCO'!K33+'Price Table 8 EPFL'!K33+'Price Table 8 AIUB'!K33</f>
        <v>#REF!</v>
      </c>
      <c r="L33" s="406" t="e">
        <f>'Price Table 8 CS'!L33+'Price Table 8 OHB'!L33+'Price Table 8 Airbus'!L33+'Price Table 8 RUAG'!L33+'Price Table 8 Syderal'!L33+'Price Table 8 APCO'!L33+'Price Table 8 EPFL'!L33+'Price Table 8 AIUB'!L33</f>
        <v>#REF!</v>
      </c>
      <c r="M33" s="406" t="e">
        <f>'Price Table 8 CS'!M33+'Price Table 8 OHB'!M33+'Price Table 8 Airbus'!M33+'Price Table 8 RUAG'!M33+'Price Table 8 Syderal'!M33+'Price Table 8 APCO'!M33+'Price Table 8 EPFL'!M33+'Price Table 8 AIUB'!M33</f>
        <v>#REF!</v>
      </c>
      <c r="N33" s="406" t="e">
        <f>'Price Table 8 CS'!N33+'Price Table 8 OHB'!N33+'Price Table 8 Airbus'!N33+'Price Table 8 RUAG'!N33+'Price Table 8 Syderal'!N33+'Price Table 8 APCO'!N33+'Price Table 8 EPFL'!N33+'Price Table 8 AIUB'!N33</f>
        <v>#REF!</v>
      </c>
      <c r="O33" s="406" t="e">
        <f>'Price Table 8 CS'!O33+'Price Table 8 OHB'!O33+'Price Table 8 Airbus'!O33+'Price Table 8 RUAG'!O33+'Price Table 8 Syderal'!O33+'Price Table 8 APCO'!O33+'Price Table 8 EPFL'!O33+'Price Table 8 AIUB'!O33</f>
        <v>#REF!</v>
      </c>
      <c r="P33" s="406" t="e">
        <f>'Price Table 8 CS'!P33+'Price Table 8 OHB'!P33+'Price Table 8 Airbus'!P33+'Price Table 8 RUAG'!P33+'Price Table 8 Syderal'!P33+'Price Table 8 APCO'!P33+'Price Table 8 EPFL'!P33+'Price Table 8 AIUB'!P33</f>
        <v>#REF!</v>
      </c>
      <c r="Q33" s="406" t="e">
        <f>'Price Table 8 CS'!Q33+'Price Table 8 OHB'!Q33+'Price Table 8 Airbus'!Q33+'Price Table 8 RUAG'!Q33+'Price Table 8 Syderal'!Q33+'Price Table 8 APCO'!Q33+'Price Table 8 EPFL'!Q33+'Price Table 8 AIUB'!Q33</f>
        <v>#REF!</v>
      </c>
      <c r="R33" s="406" t="e">
        <f>'Price Table 8 CS'!R33+'Price Table 8 OHB'!R33+'Price Table 8 Airbus'!R33+'Price Table 8 RUAG'!R33+'Price Table 8 Syderal'!R33+'Price Table 8 APCO'!R33+'Price Table 8 EPFL'!R33+'Price Table 8 AIUB'!R33</f>
        <v>#REF!</v>
      </c>
      <c r="S33" s="406" t="e">
        <f>'Price Table 8 CS'!S33+'Price Table 8 OHB'!S33+'Price Table 8 Airbus'!S33+'Price Table 8 RUAG'!S33+'Price Table 8 Syderal'!S33+'Price Table 8 APCO'!S33+'Price Table 8 EPFL'!S33+'Price Table 8 AIUB'!S33</f>
        <v>#REF!</v>
      </c>
      <c r="T33" s="406" t="e">
        <f>'Price Table 8 CS'!T33+'Price Table 8 OHB'!T33+'Price Table 8 Airbus'!T33+'Price Table 8 RUAG'!T33+'Price Table 8 Syderal'!T33+'Price Table 8 APCO'!T33+'Price Table 8 EPFL'!T33+'Price Table 8 AIUB'!T33</f>
        <v>#REF!</v>
      </c>
      <c r="U33" s="406" t="e">
        <f>'Price Table 8 CS'!U33+'Price Table 8 OHB'!U33+'Price Table 8 Airbus'!U33+'Price Table 8 RUAG'!U33+'Price Table 8 Syderal'!U33+'Price Table 8 APCO'!U33+'Price Table 8 EPFL'!U33+'Price Table 8 AIUB'!U33</f>
        <v>#REF!</v>
      </c>
      <c r="V33" s="406" t="e">
        <f>'Price Table 8 CS'!V33+'Price Table 8 OHB'!V33+'Price Table 8 Airbus'!V33+'Price Table 8 RUAG'!V33+'Price Table 8 Syderal'!V33+'Price Table 8 APCO'!V33+'Price Table 8 EPFL'!V33+'Price Table 8 AIUB'!V33</f>
        <v>#REF!</v>
      </c>
      <c r="W33" s="406" t="e">
        <f>'Price Table 8 CS'!W33+'Price Table 8 OHB'!W33+'Price Table 8 Airbus'!W33+'Price Table 8 RUAG'!W33+'Price Table 8 Syderal'!W33+'Price Table 8 APCO'!W33+'Price Table 8 EPFL'!W33+'Price Table 8 AIUB'!W33</f>
        <v>#REF!</v>
      </c>
      <c r="X33" s="406" t="e">
        <f>'Price Table 8 CS'!X33+'Price Table 8 OHB'!X33+'Price Table 8 Airbus'!X33+'Price Table 8 RUAG'!X33+'Price Table 8 Syderal'!X33+'Price Table 8 APCO'!X33+'Price Table 8 EPFL'!X33+'Price Table 8 AIUB'!X33</f>
        <v>#REF!</v>
      </c>
      <c r="Y33" s="406" t="e">
        <f>'Price Table 8 CS'!Y33+'Price Table 8 OHB'!Y33+'Price Table 8 Airbus'!Y33+'Price Table 8 RUAG'!Y33+'Price Table 8 Syderal'!Y33+'Price Table 8 APCO'!Y33+'Price Table 8 EPFL'!Y33+'Price Table 8 AIUB'!Y33</f>
        <v>#REF!</v>
      </c>
      <c r="Z33" s="406" t="e">
        <f>'Price Table 8 CS'!Z33+'Price Table 8 OHB'!Z33+'Price Table 8 Airbus'!Z33+'Price Table 8 RUAG'!Z33+'Price Table 8 Syderal'!Z33+'Price Table 8 APCO'!Z33+'Price Table 8 EPFL'!Z33+'Price Table 8 AIUB'!Z33</f>
        <v>#REF!</v>
      </c>
      <c r="AA33" s="406" t="e">
        <f>'Price Table 8 CS'!AA33+'Price Table 8 OHB'!AA33+'Price Table 8 Airbus'!AA33+'Price Table 8 RUAG'!AA33+'Price Table 8 Syderal'!AA33+'Price Table 8 APCO'!AA33+'Price Table 8 EPFL'!AA33+'Price Table 8 AIUB'!AA33</f>
        <v>#REF!</v>
      </c>
      <c r="AB33" s="406" t="e">
        <f>'Price Table 8 CS'!AB33+'Price Table 8 OHB'!AB33+'Price Table 8 Airbus'!AB33+'Price Table 8 RUAG'!AB33+'Price Table 8 Syderal'!AB33+'Price Table 8 APCO'!AB33+'Price Table 8 EPFL'!AB33+'Price Table 8 AIUB'!AB33</f>
        <v>#REF!</v>
      </c>
      <c r="AC33" s="406" t="e">
        <f>'Price Table 8 CS'!AC33+'Price Table 8 OHB'!AC33+'Price Table 8 Airbus'!AC33+'Price Table 8 RUAG'!AC33+'Price Table 8 Syderal'!AC33+'Price Table 8 APCO'!AC33+'Price Table 8 EPFL'!AC33+'Price Table 8 AIUB'!AC33</f>
        <v>#REF!</v>
      </c>
      <c r="AD33" s="406" t="e">
        <f>'Price Table 8 CS'!AD33+'Price Table 8 OHB'!AD33+'Price Table 8 Airbus'!AD33+'Price Table 8 RUAG'!AD33+'Price Table 8 Syderal'!AD33+'Price Table 8 APCO'!AD33+'Price Table 8 EPFL'!AD33+'Price Table 8 AIUB'!AD33</f>
        <v>#REF!</v>
      </c>
      <c r="AE33" s="406" t="e">
        <f>'Price Table 8 CS'!AE33+'Price Table 8 OHB'!AE33+'Price Table 8 Airbus'!AE33+'Price Table 8 RUAG'!AE33+'Price Table 8 Syderal'!AE33+'Price Table 8 APCO'!AE33+'Price Table 8 EPFL'!AE33+'Price Table 8 AIUB'!AE33</f>
        <v>#REF!</v>
      </c>
      <c r="AF33" s="406" t="e">
        <f>'Price Table 8 CS'!AF33+'Price Table 8 OHB'!AF33+'Price Table 8 Airbus'!AF33+'Price Table 8 RUAG'!AF33+'Price Table 8 Syderal'!AF33+'Price Table 8 APCO'!AF33+'Price Table 8 EPFL'!AF33+'Price Table 8 AIUB'!AF33</f>
        <v>#REF!</v>
      </c>
      <c r="AG33" s="406" t="e">
        <f>'Price Table 8 CS'!AG33+'Price Table 8 OHB'!AG33+'Price Table 8 Airbus'!AG33+'Price Table 8 RUAG'!AG33+'Price Table 8 Syderal'!AG33+'Price Table 8 APCO'!AG33+'Price Table 8 EPFL'!AG33+'Price Table 8 AIUB'!AG33</f>
        <v>#REF!</v>
      </c>
      <c r="AH33" s="518" t="e">
        <f t="shared" si="0"/>
        <v>#REF!</v>
      </c>
    </row>
    <row r="34" spans="1:39" s="94" customFormat="1">
      <c r="B34" s="519"/>
      <c r="C34" s="520"/>
      <c r="D34" s="521" t="s">
        <v>562</v>
      </c>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row r="35" spans="1:39" s="17" customFormat="1">
      <c r="B35" s="515" t="s">
        <v>584</v>
      </c>
      <c r="C35" s="516"/>
      <c r="D35" s="517"/>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row>
    <row r="36" spans="1:39" s="17" customFormat="1">
      <c r="A36" s="17" t="s">
        <v>187</v>
      </c>
      <c r="B36" s="187" t="s">
        <v>585</v>
      </c>
      <c r="C36" s="188"/>
      <c r="D36" s="186"/>
      <c r="E36" s="189" t="s">
        <v>14</v>
      </c>
      <c r="F36" s="112" t="s">
        <v>13</v>
      </c>
      <c r="G36" s="112" t="str">
        <f>CONCATENATE(E36,F36)</f>
        <v>MISSIONManpower</v>
      </c>
      <c r="H36" s="190">
        <v>440000</v>
      </c>
      <c r="I36" s="17" t="s">
        <v>586</v>
      </c>
      <c r="J36" s="406" t="e">
        <f>'Price Table 8 CS'!J36+'Price Table 8 OHB'!J36+'Price Table 8 Airbus'!J36+'Price Table 8 RUAG'!J36+'Price Table 8 Syderal'!J36+'Price Table 8 APCO'!J36+'Price Table 8 EPFL'!J36+'Price Table 8 AIUB'!J36</f>
        <v>#REF!</v>
      </c>
      <c r="K36" s="406" t="e">
        <f>'Price Table 8 CS'!K36+'Price Table 8 OHB'!K36+'Price Table 8 Airbus'!K36+'Price Table 8 RUAG'!K36+'Price Table 8 Syderal'!K36+'Price Table 8 APCO'!K36+'Price Table 8 EPFL'!K36+'Price Table 8 AIUB'!K36</f>
        <v>#REF!</v>
      </c>
      <c r="L36" s="406" t="e">
        <f>'Price Table 8 CS'!L36+'Price Table 8 OHB'!L36+'Price Table 8 Airbus'!L36+'Price Table 8 RUAG'!L36+'Price Table 8 Syderal'!L36+'Price Table 8 APCO'!L36+'Price Table 8 EPFL'!L36+'Price Table 8 AIUB'!L36</f>
        <v>#REF!</v>
      </c>
      <c r="M36" s="406" t="e">
        <f>'Price Table 8 CS'!M36+'Price Table 8 OHB'!M36+'Price Table 8 Airbus'!M36+'Price Table 8 RUAG'!M36+'Price Table 8 Syderal'!M36+'Price Table 8 APCO'!M36+'Price Table 8 EPFL'!M36+'Price Table 8 AIUB'!M36</f>
        <v>#REF!</v>
      </c>
      <c r="N36" s="406" t="e">
        <f>'Price Table 8 CS'!N36+'Price Table 8 OHB'!N36+'Price Table 8 Airbus'!N36+'Price Table 8 RUAG'!N36+'Price Table 8 Syderal'!N36+'Price Table 8 APCO'!N36+'Price Table 8 EPFL'!N36+'Price Table 8 AIUB'!N36</f>
        <v>#REF!</v>
      </c>
      <c r="O36" s="406" t="e">
        <f>'Price Table 8 CS'!O36+'Price Table 8 OHB'!O36+'Price Table 8 Airbus'!O36+'Price Table 8 RUAG'!O36+'Price Table 8 Syderal'!O36+'Price Table 8 APCO'!O36+'Price Table 8 EPFL'!O36+'Price Table 8 AIUB'!O36</f>
        <v>#REF!</v>
      </c>
      <c r="P36" s="406" t="e">
        <f>'Price Table 8 CS'!P36+'Price Table 8 OHB'!P36+'Price Table 8 Airbus'!P36+'Price Table 8 RUAG'!P36+'Price Table 8 Syderal'!P36+'Price Table 8 APCO'!P36+'Price Table 8 EPFL'!P36+'Price Table 8 AIUB'!P36</f>
        <v>#REF!</v>
      </c>
      <c r="Q36" s="406" t="e">
        <f>'Price Table 8 CS'!Q36+'Price Table 8 OHB'!Q36+'Price Table 8 Airbus'!Q36+'Price Table 8 RUAG'!Q36+'Price Table 8 Syderal'!Q36+'Price Table 8 APCO'!Q36+'Price Table 8 EPFL'!Q36+'Price Table 8 AIUB'!Q36</f>
        <v>#REF!</v>
      </c>
      <c r="R36" s="406" t="e">
        <f>'Price Table 8 CS'!R36+'Price Table 8 OHB'!R36+'Price Table 8 Airbus'!R36+'Price Table 8 RUAG'!R36+'Price Table 8 Syderal'!R36+'Price Table 8 APCO'!R36+'Price Table 8 EPFL'!R36+'Price Table 8 AIUB'!R36</f>
        <v>#REF!</v>
      </c>
      <c r="S36" s="406" t="e">
        <f>'Price Table 8 CS'!S36+'Price Table 8 OHB'!S36+'Price Table 8 Airbus'!S36+'Price Table 8 RUAG'!S36+'Price Table 8 Syderal'!S36+'Price Table 8 APCO'!S36+'Price Table 8 EPFL'!S36+'Price Table 8 AIUB'!S36</f>
        <v>#REF!</v>
      </c>
      <c r="T36" s="406" t="e">
        <f>'Price Table 8 CS'!T36+'Price Table 8 OHB'!T36+'Price Table 8 Airbus'!T36+'Price Table 8 RUAG'!T36+'Price Table 8 Syderal'!T36+'Price Table 8 APCO'!T36+'Price Table 8 EPFL'!T36+'Price Table 8 AIUB'!T36</f>
        <v>#REF!</v>
      </c>
      <c r="U36" s="406" t="e">
        <f>'Price Table 8 CS'!U36+'Price Table 8 OHB'!U36+'Price Table 8 Airbus'!U36+'Price Table 8 RUAG'!U36+'Price Table 8 Syderal'!U36+'Price Table 8 APCO'!U36+'Price Table 8 EPFL'!U36+'Price Table 8 AIUB'!U36</f>
        <v>#REF!</v>
      </c>
      <c r="V36" s="406" t="e">
        <f>'Price Table 8 CS'!V36+'Price Table 8 OHB'!V36+'Price Table 8 Airbus'!V36+'Price Table 8 RUAG'!V36+'Price Table 8 Syderal'!V36+'Price Table 8 APCO'!V36+'Price Table 8 EPFL'!V36+'Price Table 8 AIUB'!V36</f>
        <v>#REF!</v>
      </c>
      <c r="W36" s="406" t="e">
        <f>'Price Table 8 CS'!W36+'Price Table 8 OHB'!W36+'Price Table 8 Airbus'!W36+'Price Table 8 RUAG'!W36+'Price Table 8 Syderal'!W36+'Price Table 8 APCO'!W36+'Price Table 8 EPFL'!W36+'Price Table 8 AIUB'!W36</f>
        <v>#REF!</v>
      </c>
      <c r="X36" s="406" t="e">
        <f>'Price Table 8 CS'!X36+'Price Table 8 OHB'!X36+'Price Table 8 Airbus'!X36+'Price Table 8 RUAG'!X36+'Price Table 8 Syderal'!X36+'Price Table 8 APCO'!X36+'Price Table 8 EPFL'!X36+'Price Table 8 AIUB'!X36</f>
        <v>#REF!</v>
      </c>
      <c r="Y36" s="406" t="e">
        <f>'Price Table 8 CS'!Y36+'Price Table 8 OHB'!Y36+'Price Table 8 Airbus'!Y36+'Price Table 8 RUAG'!Y36+'Price Table 8 Syderal'!Y36+'Price Table 8 APCO'!Y36+'Price Table 8 EPFL'!Y36+'Price Table 8 AIUB'!Y36</f>
        <v>#REF!</v>
      </c>
      <c r="Z36" s="406" t="e">
        <f>'Price Table 8 CS'!Z36+'Price Table 8 OHB'!Z36+'Price Table 8 Airbus'!Z36+'Price Table 8 RUAG'!Z36+'Price Table 8 Syderal'!Z36+'Price Table 8 APCO'!Z36+'Price Table 8 EPFL'!Z36+'Price Table 8 AIUB'!Z36</f>
        <v>#REF!</v>
      </c>
      <c r="AA36" s="406" t="e">
        <f>'Price Table 8 CS'!AA36+'Price Table 8 OHB'!AA36+'Price Table 8 Airbus'!AA36+'Price Table 8 RUAG'!AA36+'Price Table 8 Syderal'!AA36+'Price Table 8 APCO'!AA36+'Price Table 8 EPFL'!AA36+'Price Table 8 AIUB'!AA36</f>
        <v>#REF!</v>
      </c>
      <c r="AB36" s="406" t="e">
        <f>'Price Table 8 CS'!AB36+'Price Table 8 OHB'!AB36+'Price Table 8 Airbus'!AB36+'Price Table 8 RUAG'!AB36+'Price Table 8 Syderal'!AB36+'Price Table 8 APCO'!AB36+'Price Table 8 EPFL'!AB36+'Price Table 8 AIUB'!AB36</f>
        <v>#REF!</v>
      </c>
      <c r="AC36" s="406" t="e">
        <f>'Price Table 8 CS'!AC36+'Price Table 8 OHB'!AC36+'Price Table 8 Airbus'!AC36+'Price Table 8 RUAG'!AC36+'Price Table 8 Syderal'!AC36+'Price Table 8 APCO'!AC36+'Price Table 8 EPFL'!AC36+'Price Table 8 AIUB'!AC36</f>
        <v>#REF!</v>
      </c>
      <c r="AD36" s="406" t="e">
        <f>'Price Table 8 CS'!AD36+'Price Table 8 OHB'!AD36+'Price Table 8 Airbus'!AD36+'Price Table 8 RUAG'!AD36+'Price Table 8 Syderal'!AD36+'Price Table 8 APCO'!AD36+'Price Table 8 EPFL'!AD36+'Price Table 8 AIUB'!AD36</f>
        <v>#REF!</v>
      </c>
      <c r="AE36" s="406" t="e">
        <f>'Price Table 8 CS'!AE36+'Price Table 8 OHB'!AE36+'Price Table 8 Airbus'!AE36+'Price Table 8 RUAG'!AE36+'Price Table 8 Syderal'!AE36+'Price Table 8 APCO'!AE36+'Price Table 8 EPFL'!AE36+'Price Table 8 AIUB'!AE36</f>
        <v>#REF!</v>
      </c>
      <c r="AF36" s="406" t="e">
        <f>'Price Table 8 CS'!AF36+'Price Table 8 OHB'!AF36+'Price Table 8 Airbus'!AF36+'Price Table 8 RUAG'!AF36+'Price Table 8 Syderal'!AF36+'Price Table 8 APCO'!AF36+'Price Table 8 EPFL'!AF36+'Price Table 8 AIUB'!AF36</f>
        <v>#REF!</v>
      </c>
      <c r="AG36" s="406" t="e">
        <f>'Price Table 8 CS'!AG36+'Price Table 8 OHB'!AG36+'Price Table 8 Airbus'!AG36+'Price Table 8 RUAG'!AG36+'Price Table 8 Syderal'!AG36+'Price Table 8 APCO'!AG36+'Price Table 8 EPFL'!AG36+'Price Table 8 AIUB'!AG36</f>
        <v>#REF!</v>
      </c>
      <c r="AH36" s="518" t="e">
        <f t="shared" si="0"/>
        <v>#REF!</v>
      </c>
    </row>
    <row r="37" spans="1:39" s="17" customFormat="1">
      <c r="A37" s="17" t="s">
        <v>587</v>
      </c>
      <c r="B37" s="187" t="s">
        <v>588</v>
      </c>
      <c r="C37" s="188"/>
      <c r="D37" s="186"/>
      <c r="E37" s="189" t="s">
        <v>14</v>
      </c>
      <c r="F37" s="112" t="s">
        <v>117</v>
      </c>
      <c r="G37" s="112" t="str">
        <f>CONCATENATE(E37,F37)</f>
        <v>MISSIONProcurement</v>
      </c>
      <c r="H37" s="190">
        <v>440000</v>
      </c>
      <c r="J37" s="406" t="e">
        <f>'Price Table 8 CS'!J37+'Price Table 8 OHB'!J37+'Price Table 8 Airbus'!J37+'Price Table 8 RUAG'!J37+'Price Table 8 Syderal'!J37+'Price Table 8 APCO'!J37+'Price Table 8 EPFL'!J37+'Price Table 8 AIUB'!J37</f>
        <v>#REF!</v>
      </c>
      <c r="K37" s="406" t="e">
        <f>'Price Table 8 CS'!K37+'Price Table 8 OHB'!K37+'Price Table 8 Airbus'!K37+'Price Table 8 RUAG'!K37+'Price Table 8 Syderal'!K37+'Price Table 8 APCO'!K37+'Price Table 8 EPFL'!K37+'Price Table 8 AIUB'!K37</f>
        <v>#REF!</v>
      </c>
      <c r="L37" s="406" t="e">
        <f>'Price Table 8 CS'!L37+'Price Table 8 OHB'!L37+'Price Table 8 Airbus'!L37+'Price Table 8 RUAG'!L37+'Price Table 8 Syderal'!L37+'Price Table 8 APCO'!L37+'Price Table 8 EPFL'!L37+'Price Table 8 AIUB'!L37</f>
        <v>#REF!</v>
      </c>
      <c r="M37" s="406" t="e">
        <f>'Price Table 8 CS'!M37+'Price Table 8 OHB'!M37+'Price Table 8 Airbus'!M37+'Price Table 8 RUAG'!M37+'Price Table 8 Syderal'!M37+'Price Table 8 APCO'!M37+'Price Table 8 EPFL'!M37+'Price Table 8 AIUB'!M37</f>
        <v>#REF!</v>
      </c>
      <c r="N37" s="406" t="e">
        <f>'Price Table 8 CS'!N37+'Price Table 8 OHB'!N37+'Price Table 8 Airbus'!N37+'Price Table 8 RUAG'!N37+'Price Table 8 Syderal'!N37+'Price Table 8 APCO'!N37+'Price Table 8 EPFL'!N37+'Price Table 8 AIUB'!N37</f>
        <v>#REF!</v>
      </c>
      <c r="O37" s="406" t="e">
        <f>'Price Table 8 CS'!O37+'Price Table 8 OHB'!O37+'Price Table 8 Airbus'!O37+'Price Table 8 RUAG'!O37+'Price Table 8 Syderal'!O37+'Price Table 8 APCO'!O37+'Price Table 8 EPFL'!O37+'Price Table 8 AIUB'!O37</f>
        <v>#REF!</v>
      </c>
      <c r="P37" s="406" t="e">
        <f>'Price Table 8 CS'!P37+'Price Table 8 OHB'!P37+'Price Table 8 Airbus'!P37+'Price Table 8 RUAG'!P37+'Price Table 8 Syderal'!P37+'Price Table 8 APCO'!P37+'Price Table 8 EPFL'!P37+'Price Table 8 AIUB'!P37</f>
        <v>#REF!</v>
      </c>
      <c r="Q37" s="406" t="e">
        <f>'Price Table 8 CS'!Q37+'Price Table 8 OHB'!Q37+'Price Table 8 Airbus'!Q37+'Price Table 8 RUAG'!Q37+'Price Table 8 Syderal'!Q37+'Price Table 8 APCO'!Q37+'Price Table 8 EPFL'!Q37+'Price Table 8 AIUB'!Q37</f>
        <v>#REF!</v>
      </c>
      <c r="R37" s="406" t="e">
        <f>'Price Table 8 CS'!R37+'Price Table 8 OHB'!R37+'Price Table 8 Airbus'!R37+'Price Table 8 RUAG'!R37+'Price Table 8 Syderal'!R37+'Price Table 8 APCO'!R37+'Price Table 8 EPFL'!R37+'Price Table 8 AIUB'!R37</f>
        <v>#REF!</v>
      </c>
      <c r="S37" s="406" t="e">
        <f>'Price Table 8 CS'!S37+'Price Table 8 OHB'!S37+'Price Table 8 Airbus'!S37+'Price Table 8 RUAG'!S37+'Price Table 8 Syderal'!S37+'Price Table 8 APCO'!S37+'Price Table 8 EPFL'!S37+'Price Table 8 AIUB'!S37</f>
        <v>#REF!</v>
      </c>
      <c r="T37" s="406" t="e">
        <f>'Price Table 8 CS'!T37+'Price Table 8 OHB'!T37+'Price Table 8 Airbus'!T37+'Price Table 8 RUAG'!T37+'Price Table 8 Syderal'!T37+'Price Table 8 APCO'!T37+'Price Table 8 EPFL'!T37+'Price Table 8 AIUB'!T37</f>
        <v>#REF!</v>
      </c>
      <c r="U37" s="406" t="e">
        <f>'Price Table 8 CS'!U37+'Price Table 8 OHB'!U37+'Price Table 8 Airbus'!U37+'Price Table 8 RUAG'!U37+'Price Table 8 Syderal'!U37+'Price Table 8 APCO'!U37+'Price Table 8 EPFL'!U37+'Price Table 8 AIUB'!U37</f>
        <v>#REF!</v>
      </c>
      <c r="V37" s="406" t="e">
        <f>'Price Table 8 CS'!V37+'Price Table 8 OHB'!V37+'Price Table 8 Airbus'!V37+'Price Table 8 RUAG'!V37+'Price Table 8 Syderal'!V37+'Price Table 8 APCO'!V37+'Price Table 8 EPFL'!V37+'Price Table 8 AIUB'!V37</f>
        <v>#REF!</v>
      </c>
      <c r="W37" s="406" t="e">
        <f>'Price Table 8 CS'!W37+'Price Table 8 OHB'!W37+'Price Table 8 Airbus'!W37+'Price Table 8 RUAG'!W37+'Price Table 8 Syderal'!W37+'Price Table 8 APCO'!W37+'Price Table 8 EPFL'!W37+'Price Table 8 AIUB'!W37</f>
        <v>#REF!</v>
      </c>
      <c r="X37" s="406" t="e">
        <f>'Price Table 8 CS'!X37+'Price Table 8 OHB'!X37+'Price Table 8 Airbus'!X37+'Price Table 8 RUAG'!X37+'Price Table 8 Syderal'!X37+'Price Table 8 APCO'!X37+'Price Table 8 EPFL'!X37+'Price Table 8 AIUB'!X37</f>
        <v>#REF!</v>
      </c>
      <c r="Y37" s="406" t="e">
        <f>'Price Table 8 CS'!Y37+'Price Table 8 OHB'!Y37+'Price Table 8 Airbus'!Y37+'Price Table 8 RUAG'!Y37+'Price Table 8 Syderal'!Y37+'Price Table 8 APCO'!Y37+'Price Table 8 EPFL'!Y37+'Price Table 8 AIUB'!Y37</f>
        <v>#REF!</v>
      </c>
      <c r="Z37" s="406" t="e">
        <f>'Price Table 8 CS'!Z37+'Price Table 8 OHB'!Z37+'Price Table 8 Airbus'!Z37+'Price Table 8 RUAG'!Z37+'Price Table 8 Syderal'!Z37+'Price Table 8 APCO'!Z37+'Price Table 8 EPFL'!Z37+'Price Table 8 AIUB'!Z37</f>
        <v>#REF!</v>
      </c>
      <c r="AA37" s="406" t="e">
        <f>'Price Table 8 CS'!AA37+'Price Table 8 OHB'!AA37+'Price Table 8 Airbus'!AA37+'Price Table 8 RUAG'!AA37+'Price Table 8 Syderal'!AA37+'Price Table 8 APCO'!AA37+'Price Table 8 EPFL'!AA37+'Price Table 8 AIUB'!AA37</f>
        <v>#REF!</v>
      </c>
      <c r="AB37" s="406" t="e">
        <f>'Price Table 8 CS'!AB37+'Price Table 8 OHB'!AB37+'Price Table 8 Airbus'!AB37+'Price Table 8 RUAG'!AB37+'Price Table 8 Syderal'!AB37+'Price Table 8 APCO'!AB37+'Price Table 8 EPFL'!AB37+'Price Table 8 AIUB'!AB37</f>
        <v>#REF!</v>
      </c>
      <c r="AC37" s="406" t="e">
        <f>'Price Table 8 CS'!AC37+'Price Table 8 OHB'!AC37+'Price Table 8 Airbus'!AC37+'Price Table 8 RUAG'!AC37+'Price Table 8 Syderal'!AC37+'Price Table 8 APCO'!AC37+'Price Table 8 EPFL'!AC37+'Price Table 8 AIUB'!AC37</f>
        <v>#REF!</v>
      </c>
      <c r="AD37" s="406" t="e">
        <f>'Price Table 8 CS'!AD37+'Price Table 8 OHB'!AD37+'Price Table 8 Airbus'!AD37+'Price Table 8 RUAG'!AD37+'Price Table 8 Syderal'!AD37+'Price Table 8 APCO'!AD37+'Price Table 8 EPFL'!AD37+'Price Table 8 AIUB'!AD37</f>
        <v>#REF!</v>
      </c>
      <c r="AE37" s="406" t="e">
        <f>'Price Table 8 CS'!AE37+'Price Table 8 OHB'!AE37+'Price Table 8 Airbus'!AE37+'Price Table 8 RUAG'!AE37+'Price Table 8 Syderal'!AE37+'Price Table 8 APCO'!AE37+'Price Table 8 EPFL'!AE37+'Price Table 8 AIUB'!AE37</f>
        <v>#REF!</v>
      </c>
      <c r="AF37" s="406" t="e">
        <f>'Price Table 8 CS'!AF37+'Price Table 8 OHB'!AF37+'Price Table 8 Airbus'!AF37+'Price Table 8 RUAG'!AF37+'Price Table 8 Syderal'!AF37+'Price Table 8 APCO'!AF37+'Price Table 8 EPFL'!AF37+'Price Table 8 AIUB'!AF37</f>
        <v>#REF!</v>
      </c>
      <c r="AG37" s="406" t="e">
        <f>'Price Table 8 CS'!AG37+'Price Table 8 OHB'!AG37+'Price Table 8 Airbus'!AG37+'Price Table 8 RUAG'!AG37+'Price Table 8 Syderal'!AG37+'Price Table 8 APCO'!AG37+'Price Table 8 EPFL'!AG37+'Price Table 8 AIUB'!AG37</f>
        <v>#REF!</v>
      </c>
      <c r="AH37" s="518" t="e">
        <f t="shared" si="0"/>
        <v>#REF!</v>
      </c>
    </row>
    <row r="38" spans="1:39" s="94" customFormat="1">
      <c r="B38" s="519"/>
      <c r="C38" s="520"/>
      <c r="D38" s="521" t="s">
        <v>562</v>
      </c>
      <c r="E38" s="522"/>
      <c r="F38" s="522"/>
      <c r="G38" s="522"/>
      <c r="H38" s="522"/>
      <c r="I38" s="522"/>
      <c r="J38" s="522"/>
      <c r="K38" s="522"/>
      <c r="L38" s="522"/>
      <c r="M38" s="522"/>
      <c r="N38" s="522"/>
      <c r="O38" s="522"/>
      <c r="P38" s="522"/>
      <c r="Q38" s="522"/>
      <c r="R38" s="522"/>
      <c r="S38" s="522"/>
      <c r="T38" s="522"/>
      <c r="U38" s="522"/>
      <c r="V38" s="522"/>
      <c r="W38" s="522"/>
      <c r="X38" s="522"/>
      <c r="Y38" s="522"/>
      <c r="Z38" s="522"/>
      <c r="AA38" s="522"/>
      <c r="AB38" s="522"/>
      <c r="AC38" s="522"/>
      <c r="AD38" s="522"/>
      <c r="AE38" s="522"/>
      <c r="AF38" s="522"/>
      <c r="AG38" s="522"/>
      <c r="AH38" s="522"/>
      <c r="AI38" s="522"/>
      <c r="AJ38" s="522"/>
      <c r="AK38" s="522"/>
      <c r="AL38" s="522"/>
    </row>
    <row r="39" spans="1:39">
      <c r="B39" s="48" t="s">
        <v>589</v>
      </c>
      <c r="C39" s="49"/>
      <c r="D39" s="50"/>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row>
    <row r="40" spans="1:39">
      <c r="A40" t="s">
        <v>204</v>
      </c>
      <c r="B40" s="51" t="s">
        <v>590</v>
      </c>
      <c r="C40" s="53"/>
      <c r="D40" s="44"/>
      <c r="E40" s="36" t="s">
        <v>14</v>
      </c>
      <c r="F40" s="36" t="s">
        <v>13</v>
      </c>
      <c r="G40" s="36" t="str">
        <f>CONCATENATE(E40,F40)</f>
        <v>MISSIONManpower</v>
      </c>
      <c r="H40" s="61">
        <v>450000</v>
      </c>
      <c r="I40" s="66"/>
      <c r="J40" s="123" t="e">
        <f>'Price Table 8 CS'!J40+'Price Table 8 OHB'!J40+'Price Table 8 Airbus'!J40+'Price Table 8 RUAG'!J40+'Price Table 8 Syderal'!J40+'Price Table 8 APCO'!J40+'Price Table 8 EPFL'!J40+'Price Table 8 AIUB'!J40</f>
        <v>#REF!</v>
      </c>
      <c r="K40" s="123" t="e">
        <f>'Price Table 8 CS'!K40+'Price Table 8 OHB'!K40+'Price Table 8 Airbus'!K40+'Price Table 8 RUAG'!K40+'Price Table 8 Syderal'!K40+'Price Table 8 APCO'!K40+'Price Table 8 EPFL'!K40+'Price Table 8 AIUB'!K40</f>
        <v>#REF!</v>
      </c>
      <c r="L40" s="123" t="e">
        <f>'Price Table 8 CS'!L40+'Price Table 8 OHB'!L40+'Price Table 8 Airbus'!L40+'Price Table 8 RUAG'!L40+'Price Table 8 Syderal'!L40+'Price Table 8 APCO'!L40+'Price Table 8 EPFL'!L40+'Price Table 8 AIUB'!L40</f>
        <v>#REF!</v>
      </c>
      <c r="M40" s="123" t="e">
        <f>'Price Table 8 CS'!M40+'Price Table 8 OHB'!M40+'Price Table 8 Airbus'!M40+'Price Table 8 RUAG'!M40+'Price Table 8 Syderal'!M40+'Price Table 8 APCO'!M40+'Price Table 8 EPFL'!M40+'Price Table 8 AIUB'!M40</f>
        <v>#REF!</v>
      </c>
      <c r="N40" s="123" t="e">
        <f>'Price Table 8 CS'!N40+'Price Table 8 OHB'!N40+'Price Table 8 Airbus'!N40+'Price Table 8 RUAG'!N40+'Price Table 8 Syderal'!N40+'Price Table 8 APCO'!N40+'Price Table 8 EPFL'!N40+'Price Table 8 AIUB'!N40</f>
        <v>#REF!</v>
      </c>
      <c r="O40" s="123" t="e">
        <f>'Price Table 8 CS'!O40+'Price Table 8 OHB'!O40+'Price Table 8 Airbus'!O40+'Price Table 8 RUAG'!O40+'Price Table 8 Syderal'!O40+'Price Table 8 APCO'!O40+'Price Table 8 EPFL'!O40+'Price Table 8 AIUB'!O40</f>
        <v>#REF!</v>
      </c>
      <c r="P40" s="123" t="e">
        <f>'Price Table 8 CS'!P40+'Price Table 8 OHB'!P40+'Price Table 8 Airbus'!P40+'Price Table 8 RUAG'!P40+'Price Table 8 Syderal'!P40+'Price Table 8 APCO'!P40+'Price Table 8 EPFL'!P40+'Price Table 8 AIUB'!P40</f>
        <v>#REF!</v>
      </c>
      <c r="Q40" s="123" t="e">
        <f>'Price Table 8 CS'!Q40+'Price Table 8 OHB'!Q40+'Price Table 8 Airbus'!Q40+'Price Table 8 RUAG'!Q40+'Price Table 8 Syderal'!Q40+'Price Table 8 APCO'!Q40+'Price Table 8 EPFL'!Q40+'Price Table 8 AIUB'!Q40</f>
        <v>#REF!</v>
      </c>
      <c r="R40" s="123" t="e">
        <f>'Price Table 8 CS'!R40+'Price Table 8 OHB'!R40+'Price Table 8 Airbus'!R40+'Price Table 8 RUAG'!R40+'Price Table 8 Syderal'!R40+'Price Table 8 APCO'!R40+'Price Table 8 EPFL'!R40+'Price Table 8 AIUB'!R40</f>
        <v>#REF!</v>
      </c>
      <c r="S40" s="123" t="e">
        <f>'Price Table 8 CS'!S40+'Price Table 8 OHB'!S40+'Price Table 8 Airbus'!S40+'Price Table 8 RUAG'!S40+'Price Table 8 Syderal'!S40+'Price Table 8 APCO'!S40+'Price Table 8 EPFL'!S40+'Price Table 8 AIUB'!S40</f>
        <v>#REF!</v>
      </c>
      <c r="T40" s="123" t="e">
        <f>'Price Table 8 CS'!T40+'Price Table 8 OHB'!T40+'Price Table 8 Airbus'!T40+'Price Table 8 RUAG'!T40+'Price Table 8 Syderal'!T40+'Price Table 8 APCO'!T40+'Price Table 8 EPFL'!T40+'Price Table 8 AIUB'!T40</f>
        <v>#REF!</v>
      </c>
      <c r="U40" s="123" t="e">
        <f>'Price Table 8 CS'!U40+'Price Table 8 OHB'!U40+'Price Table 8 Airbus'!U40+'Price Table 8 RUAG'!U40+'Price Table 8 Syderal'!U40+'Price Table 8 APCO'!U40+'Price Table 8 EPFL'!U40+'Price Table 8 AIUB'!U40</f>
        <v>#REF!</v>
      </c>
      <c r="V40" s="123" t="e">
        <f>'Price Table 8 CS'!V40+'Price Table 8 OHB'!V40+'Price Table 8 Airbus'!V40+'Price Table 8 RUAG'!V40+'Price Table 8 Syderal'!V40+'Price Table 8 APCO'!V40+'Price Table 8 EPFL'!V40+'Price Table 8 AIUB'!V40</f>
        <v>#REF!</v>
      </c>
      <c r="W40" s="123" t="e">
        <f>'Price Table 8 CS'!W40+'Price Table 8 OHB'!W40+'Price Table 8 Airbus'!W40+'Price Table 8 RUAG'!W40+'Price Table 8 Syderal'!W40+'Price Table 8 APCO'!W40+'Price Table 8 EPFL'!W40+'Price Table 8 AIUB'!W40</f>
        <v>#REF!</v>
      </c>
      <c r="X40" s="123" t="e">
        <f>'Price Table 8 CS'!X40+'Price Table 8 OHB'!X40+'Price Table 8 Airbus'!X40+'Price Table 8 RUAG'!X40+'Price Table 8 Syderal'!X40+'Price Table 8 APCO'!X40+'Price Table 8 EPFL'!X40+'Price Table 8 AIUB'!X40</f>
        <v>#REF!</v>
      </c>
      <c r="Y40" s="123" t="e">
        <f>'Price Table 8 CS'!Y40+'Price Table 8 OHB'!Y40+'Price Table 8 Airbus'!Y40+'Price Table 8 RUAG'!Y40+'Price Table 8 Syderal'!Y40+'Price Table 8 APCO'!Y40+'Price Table 8 EPFL'!Y40+'Price Table 8 AIUB'!Y40</f>
        <v>#REF!</v>
      </c>
      <c r="Z40" s="123" t="e">
        <f>'Price Table 8 CS'!Z40+'Price Table 8 OHB'!Z40+'Price Table 8 Airbus'!Z40+'Price Table 8 RUAG'!Z40+'Price Table 8 Syderal'!Z40+'Price Table 8 APCO'!Z40+'Price Table 8 EPFL'!Z40+'Price Table 8 AIUB'!Z40</f>
        <v>#REF!</v>
      </c>
      <c r="AA40" s="123" t="e">
        <f>'Price Table 8 CS'!AA40+'Price Table 8 OHB'!AA40+'Price Table 8 Airbus'!AA40+'Price Table 8 RUAG'!AA40+'Price Table 8 Syderal'!AA40+'Price Table 8 APCO'!AA40+'Price Table 8 EPFL'!AA40+'Price Table 8 AIUB'!AA40</f>
        <v>#REF!</v>
      </c>
      <c r="AB40" s="123" t="e">
        <f>'Price Table 8 CS'!AB40+'Price Table 8 OHB'!AB40+'Price Table 8 Airbus'!AB40+'Price Table 8 RUAG'!AB40+'Price Table 8 Syderal'!AB40+'Price Table 8 APCO'!AB40+'Price Table 8 EPFL'!AB40+'Price Table 8 AIUB'!AB40</f>
        <v>#REF!</v>
      </c>
      <c r="AC40" s="123" t="e">
        <f>'Price Table 8 CS'!AC40+'Price Table 8 OHB'!AC40+'Price Table 8 Airbus'!AC40+'Price Table 8 RUAG'!AC40+'Price Table 8 Syderal'!AC40+'Price Table 8 APCO'!AC40+'Price Table 8 EPFL'!AC40+'Price Table 8 AIUB'!AC40</f>
        <v>#REF!</v>
      </c>
      <c r="AD40" s="123" t="e">
        <f>'Price Table 8 CS'!AD40+'Price Table 8 OHB'!AD40+'Price Table 8 Airbus'!AD40+'Price Table 8 RUAG'!AD40+'Price Table 8 Syderal'!AD40+'Price Table 8 APCO'!AD40+'Price Table 8 EPFL'!AD40+'Price Table 8 AIUB'!AD40</f>
        <v>#REF!</v>
      </c>
      <c r="AE40" s="123" t="e">
        <f>'Price Table 8 CS'!AE40+'Price Table 8 OHB'!AE40+'Price Table 8 Airbus'!AE40+'Price Table 8 RUAG'!AE40+'Price Table 8 Syderal'!AE40+'Price Table 8 APCO'!AE40+'Price Table 8 EPFL'!AE40+'Price Table 8 AIUB'!AE40</f>
        <v>#REF!</v>
      </c>
      <c r="AF40" s="123" t="e">
        <f>'Price Table 8 CS'!AF40+'Price Table 8 OHB'!AF40+'Price Table 8 Airbus'!AF40+'Price Table 8 RUAG'!AF40+'Price Table 8 Syderal'!AF40+'Price Table 8 APCO'!AF40+'Price Table 8 EPFL'!AF40+'Price Table 8 AIUB'!AF40</f>
        <v>#REF!</v>
      </c>
      <c r="AG40" s="123" t="e">
        <f>'Price Table 8 CS'!AG40+'Price Table 8 OHB'!AG40+'Price Table 8 Airbus'!AG40+'Price Table 8 RUAG'!AG40+'Price Table 8 Syderal'!AG40+'Price Table 8 APCO'!AG40+'Price Table 8 EPFL'!AG40+'Price Table 8 AIUB'!AG40</f>
        <v>#REF!</v>
      </c>
      <c r="AH40" s="124" t="e">
        <f t="shared" si="0"/>
        <v>#REF!</v>
      </c>
    </row>
    <row r="41" spans="1:39">
      <c r="A41" t="s">
        <v>592</v>
      </c>
      <c r="B41" s="51" t="s">
        <v>593</v>
      </c>
      <c r="C41" s="53"/>
      <c r="D41" s="44"/>
      <c r="E41" s="36" t="s">
        <v>14</v>
      </c>
      <c r="F41" s="36" t="s">
        <v>117</v>
      </c>
      <c r="G41" s="36" t="str">
        <f>CONCATENATE(E41,F41)</f>
        <v>MISSIONProcurement</v>
      </c>
      <c r="H41" s="61">
        <v>450000</v>
      </c>
      <c r="J41" s="123" t="e">
        <f>'Price Table 8 CS'!J41+'Price Table 8 OHB'!J41+'Price Table 8 Airbus'!J41+'Price Table 8 RUAG'!J41+'Price Table 8 Syderal'!J41+'Price Table 8 APCO'!J41+'Price Table 8 EPFL'!J41+'Price Table 8 AIUB'!J41</f>
        <v>#REF!</v>
      </c>
      <c r="K41" s="123" t="e">
        <f>'Price Table 8 CS'!K41+'Price Table 8 OHB'!K41+'Price Table 8 Airbus'!K41+'Price Table 8 RUAG'!K41+'Price Table 8 Syderal'!K41+'Price Table 8 APCO'!K41+'Price Table 8 EPFL'!K41+'Price Table 8 AIUB'!K41</f>
        <v>#REF!</v>
      </c>
      <c r="L41" s="123" t="e">
        <f>'Price Table 8 CS'!L41+'Price Table 8 OHB'!L41+'Price Table 8 Airbus'!L41+'Price Table 8 RUAG'!L41+'Price Table 8 Syderal'!L41+'Price Table 8 APCO'!L41+'Price Table 8 EPFL'!L41+'Price Table 8 AIUB'!L41</f>
        <v>#REF!</v>
      </c>
      <c r="M41" s="123" t="e">
        <f>'Price Table 8 CS'!M41+'Price Table 8 OHB'!M41+'Price Table 8 Airbus'!M41+'Price Table 8 RUAG'!M41+'Price Table 8 Syderal'!M41+'Price Table 8 APCO'!M41+'Price Table 8 EPFL'!M41+'Price Table 8 AIUB'!M41</f>
        <v>#REF!</v>
      </c>
      <c r="N41" s="123" t="e">
        <f>'Price Table 8 CS'!N41+'Price Table 8 OHB'!N41+'Price Table 8 Airbus'!N41+'Price Table 8 RUAG'!N41+'Price Table 8 Syderal'!N41+'Price Table 8 APCO'!N41+'Price Table 8 EPFL'!N41+'Price Table 8 AIUB'!N41</f>
        <v>#REF!</v>
      </c>
      <c r="O41" s="123" t="e">
        <f>'Price Table 8 CS'!O41+'Price Table 8 OHB'!O41+'Price Table 8 Airbus'!O41+'Price Table 8 RUAG'!O41+'Price Table 8 Syderal'!O41+'Price Table 8 APCO'!O41+'Price Table 8 EPFL'!O41+'Price Table 8 AIUB'!O41</f>
        <v>#REF!</v>
      </c>
      <c r="P41" s="123" t="e">
        <f>'Price Table 8 CS'!P41+'Price Table 8 OHB'!P41+'Price Table 8 Airbus'!P41+'Price Table 8 RUAG'!P41+'Price Table 8 Syderal'!P41+'Price Table 8 APCO'!P41+'Price Table 8 EPFL'!P41+'Price Table 8 AIUB'!P41</f>
        <v>#REF!</v>
      </c>
      <c r="Q41" s="123" t="e">
        <f>'Price Table 8 CS'!Q41+'Price Table 8 OHB'!Q41+'Price Table 8 Airbus'!Q41+'Price Table 8 RUAG'!Q41+'Price Table 8 Syderal'!Q41+'Price Table 8 APCO'!Q41+'Price Table 8 EPFL'!Q41+'Price Table 8 AIUB'!Q41</f>
        <v>#REF!</v>
      </c>
      <c r="R41" s="123" t="e">
        <f>'Price Table 8 CS'!R41+'Price Table 8 OHB'!R41+'Price Table 8 Airbus'!R41+'Price Table 8 RUAG'!R41+'Price Table 8 Syderal'!R41+'Price Table 8 APCO'!R41+'Price Table 8 EPFL'!R41+'Price Table 8 AIUB'!R41</f>
        <v>#REF!</v>
      </c>
      <c r="S41" s="123" t="e">
        <f>'Price Table 8 CS'!S41+'Price Table 8 OHB'!S41+'Price Table 8 Airbus'!S41+'Price Table 8 RUAG'!S41+'Price Table 8 Syderal'!S41+'Price Table 8 APCO'!S41+'Price Table 8 EPFL'!S41+'Price Table 8 AIUB'!S41</f>
        <v>#REF!</v>
      </c>
      <c r="T41" s="123" t="e">
        <f>'Price Table 8 CS'!T41+'Price Table 8 OHB'!T41+'Price Table 8 Airbus'!T41+'Price Table 8 RUAG'!T41+'Price Table 8 Syderal'!T41+'Price Table 8 APCO'!T41+'Price Table 8 EPFL'!T41+'Price Table 8 AIUB'!T41</f>
        <v>#REF!</v>
      </c>
      <c r="U41" s="123" t="e">
        <f>'Price Table 8 CS'!U41+'Price Table 8 OHB'!U41+'Price Table 8 Airbus'!U41+'Price Table 8 RUAG'!U41+'Price Table 8 Syderal'!U41+'Price Table 8 APCO'!U41+'Price Table 8 EPFL'!U41+'Price Table 8 AIUB'!U41</f>
        <v>#REF!</v>
      </c>
      <c r="V41" s="123" t="e">
        <f>'Price Table 8 CS'!V41+'Price Table 8 OHB'!V41+'Price Table 8 Airbus'!V41+'Price Table 8 RUAG'!V41+'Price Table 8 Syderal'!V41+'Price Table 8 APCO'!V41+'Price Table 8 EPFL'!V41+'Price Table 8 AIUB'!V41</f>
        <v>#REF!</v>
      </c>
      <c r="W41" s="123" t="e">
        <f>'Price Table 8 CS'!W41+'Price Table 8 OHB'!W41+'Price Table 8 Airbus'!W41+'Price Table 8 RUAG'!W41+'Price Table 8 Syderal'!W41+'Price Table 8 APCO'!W41+'Price Table 8 EPFL'!W41+'Price Table 8 AIUB'!W41</f>
        <v>#REF!</v>
      </c>
      <c r="X41" s="123" t="e">
        <f>'Price Table 8 CS'!X41+'Price Table 8 OHB'!X41+'Price Table 8 Airbus'!X41+'Price Table 8 RUAG'!X41+'Price Table 8 Syderal'!X41+'Price Table 8 APCO'!X41+'Price Table 8 EPFL'!X41+'Price Table 8 AIUB'!X41</f>
        <v>#REF!</v>
      </c>
      <c r="Y41" s="123" t="e">
        <f>'Price Table 8 CS'!Y41+'Price Table 8 OHB'!Y41+'Price Table 8 Airbus'!Y41+'Price Table 8 RUAG'!Y41+'Price Table 8 Syderal'!Y41+'Price Table 8 APCO'!Y41+'Price Table 8 EPFL'!Y41+'Price Table 8 AIUB'!Y41</f>
        <v>#REF!</v>
      </c>
      <c r="Z41" s="123" t="e">
        <f>'Price Table 8 CS'!Z41+'Price Table 8 OHB'!Z41+'Price Table 8 Airbus'!Z41+'Price Table 8 RUAG'!Z41+'Price Table 8 Syderal'!Z41+'Price Table 8 APCO'!Z41+'Price Table 8 EPFL'!Z41+'Price Table 8 AIUB'!Z41</f>
        <v>#REF!</v>
      </c>
      <c r="AA41" s="123" t="e">
        <f>'Price Table 8 CS'!AA41+'Price Table 8 OHB'!AA41+'Price Table 8 Airbus'!AA41+'Price Table 8 RUAG'!AA41+'Price Table 8 Syderal'!AA41+'Price Table 8 APCO'!AA41+'Price Table 8 EPFL'!AA41+'Price Table 8 AIUB'!AA41</f>
        <v>#REF!</v>
      </c>
      <c r="AB41" s="123" t="e">
        <f>'Price Table 8 CS'!AB41+'Price Table 8 OHB'!AB41+'Price Table 8 Airbus'!AB41+'Price Table 8 RUAG'!AB41+'Price Table 8 Syderal'!AB41+'Price Table 8 APCO'!AB41+'Price Table 8 EPFL'!AB41+'Price Table 8 AIUB'!AB41</f>
        <v>#REF!</v>
      </c>
      <c r="AC41" s="123" t="e">
        <f>'Price Table 8 CS'!AC41+'Price Table 8 OHB'!AC41+'Price Table 8 Airbus'!AC41+'Price Table 8 RUAG'!AC41+'Price Table 8 Syderal'!AC41+'Price Table 8 APCO'!AC41+'Price Table 8 EPFL'!AC41+'Price Table 8 AIUB'!AC41</f>
        <v>#REF!</v>
      </c>
      <c r="AD41" s="123" t="e">
        <f>'Price Table 8 CS'!AD41+'Price Table 8 OHB'!AD41+'Price Table 8 Airbus'!AD41+'Price Table 8 RUAG'!AD41+'Price Table 8 Syderal'!AD41+'Price Table 8 APCO'!AD41+'Price Table 8 EPFL'!AD41+'Price Table 8 AIUB'!AD41</f>
        <v>#REF!</v>
      </c>
      <c r="AE41" s="123" t="e">
        <f>'Price Table 8 CS'!AE41+'Price Table 8 OHB'!AE41+'Price Table 8 Airbus'!AE41+'Price Table 8 RUAG'!AE41+'Price Table 8 Syderal'!AE41+'Price Table 8 APCO'!AE41+'Price Table 8 EPFL'!AE41+'Price Table 8 AIUB'!AE41</f>
        <v>#REF!</v>
      </c>
      <c r="AF41" s="123" t="e">
        <f>'Price Table 8 CS'!AF41+'Price Table 8 OHB'!AF41+'Price Table 8 Airbus'!AF41+'Price Table 8 RUAG'!AF41+'Price Table 8 Syderal'!AF41+'Price Table 8 APCO'!AF41+'Price Table 8 EPFL'!AF41+'Price Table 8 AIUB'!AF41</f>
        <v>#REF!</v>
      </c>
      <c r="AG41" s="123" t="e">
        <f>'Price Table 8 CS'!AG41+'Price Table 8 OHB'!AG41+'Price Table 8 Airbus'!AG41+'Price Table 8 RUAG'!AG41+'Price Table 8 Syderal'!AG41+'Price Table 8 APCO'!AG41+'Price Table 8 EPFL'!AG41+'Price Table 8 AIUB'!AG41</f>
        <v>#REF!</v>
      </c>
      <c r="AH41" s="124" t="e">
        <f t="shared" si="0"/>
        <v>#REF!</v>
      </c>
    </row>
    <row r="42" spans="1:39" s="16" customFormat="1">
      <c r="B42" s="45"/>
      <c r="C42" s="55"/>
      <c r="D42" s="56" t="s">
        <v>562</v>
      </c>
      <c r="E42" s="57"/>
      <c r="F42" s="57"/>
      <c r="G42" s="57"/>
      <c r="H42" s="17"/>
    </row>
    <row r="43" spans="1:39">
      <c r="B43" s="48" t="s">
        <v>157</v>
      </c>
      <c r="C43" s="52"/>
      <c r="D43" s="50"/>
      <c r="H43"/>
      <c r="AH43"/>
    </row>
    <row r="44" spans="1:39">
      <c r="A44" t="s">
        <v>275</v>
      </c>
      <c r="B44" s="51" t="s">
        <v>594</v>
      </c>
      <c r="C44" s="53"/>
      <c r="D44" s="44"/>
      <c r="E44" s="37" t="s">
        <v>14</v>
      </c>
      <c r="F44" s="36" t="s">
        <v>13</v>
      </c>
      <c r="G44" s="36" t="str">
        <f>CONCATENATE(E44,F44)</f>
        <v>MISSIONManpower</v>
      </c>
      <c r="H44" s="16">
        <v>470000</v>
      </c>
      <c r="I44" t="s">
        <v>595</v>
      </c>
      <c r="J44" s="123" t="e">
        <f>'Price Table 8 CS'!J44+'Price Table 8 OHB'!J44+'Price Table 8 Airbus'!J44+'Price Table 8 RUAG'!J44+'Price Table 8 Syderal'!J44+'Price Table 8 APCO'!J44+'Price Table 8 EPFL'!J44+'Price Table 8 AIUB'!J44</f>
        <v>#REF!</v>
      </c>
      <c r="K44" s="123" t="e">
        <f>'Price Table 8 CS'!K44+'Price Table 8 OHB'!K44+'Price Table 8 Airbus'!K44+'Price Table 8 RUAG'!K44+'Price Table 8 Syderal'!K44+'Price Table 8 APCO'!K44+'Price Table 8 EPFL'!K44+'Price Table 8 AIUB'!K44</f>
        <v>#REF!</v>
      </c>
      <c r="L44" s="123" t="e">
        <f>'Price Table 8 CS'!L44+'Price Table 8 OHB'!L44+'Price Table 8 Airbus'!L44+'Price Table 8 RUAG'!L44+'Price Table 8 Syderal'!L44+'Price Table 8 APCO'!L44+'Price Table 8 EPFL'!L44+'Price Table 8 AIUB'!L44</f>
        <v>#REF!</v>
      </c>
      <c r="M44" s="123" t="e">
        <f>'Price Table 8 CS'!M44+'Price Table 8 OHB'!M44+'Price Table 8 Airbus'!M44+'Price Table 8 RUAG'!M44+'Price Table 8 Syderal'!M44+'Price Table 8 APCO'!M44+'Price Table 8 EPFL'!M44+'Price Table 8 AIUB'!M44</f>
        <v>#REF!</v>
      </c>
      <c r="N44" s="123" t="e">
        <f>'Price Table 8 CS'!N44+'Price Table 8 OHB'!N44+'Price Table 8 Airbus'!N44+'Price Table 8 RUAG'!N44+'Price Table 8 Syderal'!N44+'Price Table 8 APCO'!N44+'Price Table 8 EPFL'!N44+'Price Table 8 AIUB'!N44</f>
        <v>#REF!</v>
      </c>
      <c r="O44" s="123" t="e">
        <f>'Price Table 8 CS'!O44+'Price Table 8 OHB'!O44+'Price Table 8 Airbus'!O44+'Price Table 8 RUAG'!O44+'Price Table 8 Syderal'!O44+'Price Table 8 APCO'!O44+'Price Table 8 EPFL'!O44+'Price Table 8 AIUB'!O44</f>
        <v>#REF!</v>
      </c>
      <c r="P44" s="123" t="e">
        <f>'Price Table 8 CS'!P44+'Price Table 8 OHB'!P44+'Price Table 8 Airbus'!P44+'Price Table 8 RUAG'!P44+'Price Table 8 Syderal'!P44+'Price Table 8 APCO'!P44+'Price Table 8 EPFL'!P44+'Price Table 8 AIUB'!P44</f>
        <v>#REF!</v>
      </c>
      <c r="Q44" s="123" t="e">
        <f>'Price Table 8 CS'!Q44+'Price Table 8 OHB'!Q44+'Price Table 8 Airbus'!Q44+'Price Table 8 RUAG'!Q44+'Price Table 8 Syderal'!Q44+'Price Table 8 APCO'!Q44+'Price Table 8 EPFL'!Q44+'Price Table 8 AIUB'!Q44</f>
        <v>#REF!</v>
      </c>
      <c r="R44" s="123" t="e">
        <f>'Price Table 8 CS'!R44+'Price Table 8 OHB'!R44+'Price Table 8 Airbus'!R44+'Price Table 8 RUAG'!R44+'Price Table 8 Syderal'!R44+'Price Table 8 APCO'!R44+'Price Table 8 EPFL'!R44+'Price Table 8 AIUB'!R44</f>
        <v>#REF!</v>
      </c>
      <c r="S44" s="123" t="e">
        <f>'Price Table 8 CS'!S44+'Price Table 8 OHB'!S44+'Price Table 8 Airbus'!S44+'Price Table 8 RUAG'!S44+'Price Table 8 Syderal'!S44+'Price Table 8 APCO'!S44+'Price Table 8 EPFL'!S44+'Price Table 8 AIUB'!S44</f>
        <v>#REF!</v>
      </c>
      <c r="T44" s="123" t="e">
        <f>'Price Table 8 CS'!T44+'Price Table 8 OHB'!T44+'Price Table 8 Airbus'!T44+'Price Table 8 RUAG'!T44+'Price Table 8 Syderal'!T44+'Price Table 8 APCO'!T44+'Price Table 8 EPFL'!T44+'Price Table 8 AIUB'!T44</f>
        <v>#REF!</v>
      </c>
      <c r="U44" s="123" t="e">
        <f>'Price Table 8 CS'!U44+'Price Table 8 OHB'!U44+'Price Table 8 Airbus'!U44+'Price Table 8 RUAG'!U44+'Price Table 8 Syderal'!U44+'Price Table 8 APCO'!U44+'Price Table 8 EPFL'!U44+'Price Table 8 AIUB'!U44</f>
        <v>#REF!</v>
      </c>
      <c r="V44" s="123" t="e">
        <f>'Price Table 8 CS'!V44+'Price Table 8 OHB'!V44+'Price Table 8 Airbus'!V44+'Price Table 8 RUAG'!V44+'Price Table 8 Syderal'!V44+'Price Table 8 APCO'!V44+'Price Table 8 EPFL'!V44+'Price Table 8 AIUB'!V44</f>
        <v>#REF!</v>
      </c>
      <c r="W44" s="123" t="e">
        <f>'Price Table 8 CS'!W44+'Price Table 8 OHB'!W44+'Price Table 8 Airbus'!W44+'Price Table 8 RUAG'!W44+'Price Table 8 Syderal'!W44+'Price Table 8 APCO'!W44+'Price Table 8 EPFL'!W44+'Price Table 8 AIUB'!W44</f>
        <v>#REF!</v>
      </c>
      <c r="X44" s="123" t="e">
        <f>'Price Table 8 CS'!X44+'Price Table 8 OHB'!X44+'Price Table 8 Airbus'!X44+'Price Table 8 RUAG'!X44+'Price Table 8 Syderal'!X44+'Price Table 8 APCO'!X44+'Price Table 8 EPFL'!X44+'Price Table 8 AIUB'!X44</f>
        <v>#REF!</v>
      </c>
      <c r="Y44" s="123" t="e">
        <f>'Price Table 8 CS'!Y44+'Price Table 8 OHB'!Y44+'Price Table 8 Airbus'!Y44+'Price Table 8 RUAG'!Y44+'Price Table 8 Syderal'!Y44+'Price Table 8 APCO'!Y44+'Price Table 8 EPFL'!Y44+'Price Table 8 AIUB'!Y44</f>
        <v>#REF!</v>
      </c>
      <c r="Z44" s="123" t="e">
        <f>'Price Table 8 CS'!Z44+'Price Table 8 OHB'!Z44+'Price Table 8 Airbus'!Z44+'Price Table 8 RUAG'!Z44+'Price Table 8 Syderal'!Z44+'Price Table 8 APCO'!Z44+'Price Table 8 EPFL'!Z44+'Price Table 8 AIUB'!Z44</f>
        <v>#REF!</v>
      </c>
      <c r="AA44" s="123" t="e">
        <f>'Price Table 8 CS'!AA44+'Price Table 8 OHB'!AA44+'Price Table 8 Airbus'!AA44+'Price Table 8 RUAG'!AA44+'Price Table 8 Syderal'!AA44+'Price Table 8 APCO'!AA44+'Price Table 8 EPFL'!AA44+'Price Table 8 AIUB'!AA44</f>
        <v>#REF!</v>
      </c>
      <c r="AB44" s="123" t="e">
        <f>'Price Table 8 CS'!AB44+'Price Table 8 OHB'!AB44+'Price Table 8 Airbus'!AB44+'Price Table 8 RUAG'!AB44+'Price Table 8 Syderal'!AB44+'Price Table 8 APCO'!AB44+'Price Table 8 EPFL'!AB44+'Price Table 8 AIUB'!AB44</f>
        <v>#REF!</v>
      </c>
      <c r="AC44" s="123" t="e">
        <f>'Price Table 8 CS'!AC44+'Price Table 8 OHB'!AC44+'Price Table 8 Airbus'!AC44+'Price Table 8 RUAG'!AC44+'Price Table 8 Syderal'!AC44+'Price Table 8 APCO'!AC44+'Price Table 8 EPFL'!AC44+'Price Table 8 AIUB'!AC44</f>
        <v>#REF!</v>
      </c>
      <c r="AD44" s="123" t="e">
        <f>'Price Table 8 CS'!AD44+'Price Table 8 OHB'!AD44+'Price Table 8 Airbus'!AD44+'Price Table 8 RUAG'!AD44+'Price Table 8 Syderal'!AD44+'Price Table 8 APCO'!AD44+'Price Table 8 EPFL'!AD44+'Price Table 8 AIUB'!AD44</f>
        <v>#REF!</v>
      </c>
      <c r="AE44" s="123" t="e">
        <f>'Price Table 8 CS'!AE44+'Price Table 8 OHB'!AE44+'Price Table 8 Airbus'!AE44+'Price Table 8 RUAG'!AE44+'Price Table 8 Syderal'!AE44+'Price Table 8 APCO'!AE44+'Price Table 8 EPFL'!AE44+'Price Table 8 AIUB'!AE44</f>
        <v>#REF!</v>
      </c>
      <c r="AF44" s="123" t="e">
        <f>'Price Table 8 CS'!AF44+'Price Table 8 OHB'!AF44+'Price Table 8 Airbus'!AF44+'Price Table 8 RUAG'!AF44+'Price Table 8 Syderal'!AF44+'Price Table 8 APCO'!AF44+'Price Table 8 EPFL'!AF44+'Price Table 8 AIUB'!AF44</f>
        <v>#REF!</v>
      </c>
      <c r="AG44" s="123" t="e">
        <f>'Price Table 8 CS'!AG44+'Price Table 8 OHB'!AG44+'Price Table 8 Airbus'!AG44+'Price Table 8 RUAG'!AG44+'Price Table 8 Syderal'!AG44+'Price Table 8 APCO'!AG44+'Price Table 8 EPFL'!AG44+'Price Table 8 AIUB'!AG44</f>
        <v>#REF!</v>
      </c>
      <c r="AH44" s="124" t="e">
        <f t="shared" si="0"/>
        <v>#REF!</v>
      </c>
    </row>
    <row r="45" spans="1:39">
      <c r="A45" t="s">
        <v>596</v>
      </c>
      <c r="B45" s="51" t="s">
        <v>597</v>
      </c>
      <c r="C45" s="53"/>
      <c r="D45" s="44"/>
      <c r="E45" s="37" t="s">
        <v>14</v>
      </c>
      <c r="F45" s="36" t="s">
        <v>117</v>
      </c>
      <c r="G45" s="36" t="str">
        <f>CONCATENATE(E45,F45)</f>
        <v>MISSIONProcurement</v>
      </c>
      <c r="H45" s="16">
        <v>470000</v>
      </c>
      <c r="I45" t="s">
        <v>595</v>
      </c>
      <c r="J45" s="123" t="e">
        <f>'Price Table 8 CS'!J45+'Price Table 8 OHB'!J45+'Price Table 8 Airbus'!J45+'Price Table 8 RUAG'!J45+'Price Table 8 Syderal'!J45+'Price Table 8 APCO'!J45+'Price Table 8 EPFL'!J45+'Price Table 8 AIUB'!J45</f>
        <v>#REF!</v>
      </c>
      <c r="K45" s="123" t="e">
        <f>'Price Table 8 CS'!K45+'Price Table 8 OHB'!K45+'Price Table 8 Airbus'!K45+'Price Table 8 RUAG'!K45+'Price Table 8 Syderal'!K45+'Price Table 8 APCO'!K45+'Price Table 8 EPFL'!K45+'Price Table 8 AIUB'!K45</f>
        <v>#REF!</v>
      </c>
      <c r="L45" s="123" t="e">
        <f>'Price Table 8 CS'!L45+'Price Table 8 OHB'!L45+'Price Table 8 Airbus'!L45+'Price Table 8 RUAG'!L45+'Price Table 8 Syderal'!L45+'Price Table 8 APCO'!L45+'Price Table 8 EPFL'!L45+'Price Table 8 AIUB'!L45</f>
        <v>#REF!</v>
      </c>
      <c r="M45" s="123" t="e">
        <f>'Price Table 8 CS'!M45+'Price Table 8 OHB'!M45+'Price Table 8 Airbus'!M45+'Price Table 8 RUAG'!M45+'Price Table 8 Syderal'!M45+'Price Table 8 APCO'!M45+'Price Table 8 EPFL'!M45+'Price Table 8 AIUB'!M45</f>
        <v>#REF!</v>
      </c>
      <c r="N45" s="123" t="e">
        <f>'Price Table 8 CS'!N45+'Price Table 8 OHB'!N45+'Price Table 8 Airbus'!N45+'Price Table 8 RUAG'!N45+'Price Table 8 Syderal'!N45+'Price Table 8 APCO'!N45+'Price Table 8 EPFL'!N45+'Price Table 8 AIUB'!N45</f>
        <v>#REF!</v>
      </c>
      <c r="O45" s="123" t="e">
        <f>'Price Table 8 CS'!O45+'Price Table 8 OHB'!O45+'Price Table 8 Airbus'!O45+'Price Table 8 RUAG'!O45+'Price Table 8 Syderal'!O45+'Price Table 8 APCO'!O45+'Price Table 8 EPFL'!O45+'Price Table 8 AIUB'!O45</f>
        <v>#REF!</v>
      </c>
      <c r="P45" s="123" t="e">
        <f>'Price Table 8 CS'!P45+'Price Table 8 OHB'!P45+'Price Table 8 Airbus'!P45+'Price Table 8 RUAG'!P45+'Price Table 8 Syderal'!P45+'Price Table 8 APCO'!P45+'Price Table 8 EPFL'!P45+'Price Table 8 AIUB'!P45</f>
        <v>#REF!</v>
      </c>
      <c r="Q45" s="123" t="e">
        <f>'Price Table 8 CS'!Q45+'Price Table 8 OHB'!Q45+'Price Table 8 Airbus'!Q45+'Price Table 8 RUAG'!Q45+'Price Table 8 Syderal'!Q45+'Price Table 8 APCO'!Q45+'Price Table 8 EPFL'!Q45+'Price Table 8 AIUB'!Q45</f>
        <v>#REF!</v>
      </c>
      <c r="R45" s="123" t="e">
        <f>'Price Table 8 CS'!R45+'Price Table 8 OHB'!R45+'Price Table 8 Airbus'!R45+'Price Table 8 RUAG'!R45+'Price Table 8 Syderal'!R45+'Price Table 8 APCO'!R45+'Price Table 8 EPFL'!R45+'Price Table 8 AIUB'!R45</f>
        <v>#REF!</v>
      </c>
      <c r="S45" s="123" t="e">
        <f>'Price Table 8 CS'!S45+'Price Table 8 OHB'!S45+'Price Table 8 Airbus'!S45+'Price Table 8 RUAG'!S45+'Price Table 8 Syderal'!S45+'Price Table 8 APCO'!S45+'Price Table 8 EPFL'!S45+'Price Table 8 AIUB'!S45</f>
        <v>#REF!</v>
      </c>
      <c r="T45" s="123" t="e">
        <f>'Price Table 8 CS'!T45+'Price Table 8 OHB'!T45+'Price Table 8 Airbus'!T45+'Price Table 8 RUAG'!T45+'Price Table 8 Syderal'!T45+'Price Table 8 APCO'!T45+'Price Table 8 EPFL'!T45+'Price Table 8 AIUB'!T45</f>
        <v>#REF!</v>
      </c>
      <c r="U45" s="123" t="e">
        <f>'Price Table 8 CS'!U45+'Price Table 8 OHB'!U45+'Price Table 8 Airbus'!U45+'Price Table 8 RUAG'!U45+'Price Table 8 Syderal'!U45+'Price Table 8 APCO'!U45+'Price Table 8 EPFL'!U45+'Price Table 8 AIUB'!U45</f>
        <v>#REF!</v>
      </c>
      <c r="V45" s="123" t="e">
        <f>'Price Table 8 CS'!V45+'Price Table 8 OHB'!V45+'Price Table 8 Airbus'!V45+'Price Table 8 RUAG'!V45+'Price Table 8 Syderal'!V45+'Price Table 8 APCO'!V45+'Price Table 8 EPFL'!V45+'Price Table 8 AIUB'!V45</f>
        <v>#REF!</v>
      </c>
      <c r="W45" s="123" t="e">
        <f>'Price Table 8 CS'!W45+'Price Table 8 OHB'!W45+'Price Table 8 Airbus'!W45+'Price Table 8 RUAG'!W45+'Price Table 8 Syderal'!W45+'Price Table 8 APCO'!W45+'Price Table 8 EPFL'!W45+'Price Table 8 AIUB'!W45</f>
        <v>#REF!</v>
      </c>
      <c r="X45" s="123" t="e">
        <f>'Price Table 8 CS'!X45+'Price Table 8 OHB'!X45+'Price Table 8 Airbus'!X45+'Price Table 8 RUAG'!X45+'Price Table 8 Syderal'!X45+'Price Table 8 APCO'!X45+'Price Table 8 EPFL'!X45+'Price Table 8 AIUB'!X45</f>
        <v>#REF!</v>
      </c>
      <c r="Y45" s="123" t="e">
        <f>'Price Table 8 CS'!Y45+'Price Table 8 OHB'!Y45+'Price Table 8 Airbus'!Y45+'Price Table 8 RUAG'!Y45+'Price Table 8 Syderal'!Y45+'Price Table 8 APCO'!Y45+'Price Table 8 EPFL'!Y45+'Price Table 8 AIUB'!Y45</f>
        <v>#REF!</v>
      </c>
      <c r="Z45" s="123" t="e">
        <f>'Price Table 8 CS'!Z45+'Price Table 8 OHB'!Z45+'Price Table 8 Airbus'!Z45+'Price Table 8 RUAG'!Z45+'Price Table 8 Syderal'!Z45+'Price Table 8 APCO'!Z45+'Price Table 8 EPFL'!Z45+'Price Table 8 AIUB'!Z45</f>
        <v>#REF!</v>
      </c>
      <c r="AA45" s="123" t="e">
        <f>'Price Table 8 CS'!AA45+'Price Table 8 OHB'!AA45+'Price Table 8 Airbus'!AA45+'Price Table 8 RUAG'!AA45+'Price Table 8 Syderal'!AA45+'Price Table 8 APCO'!AA45+'Price Table 8 EPFL'!AA45+'Price Table 8 AIUB'!AA45</f>
        <v>#REF!</v>
      </c>
      <c r="AB45" s="123" t="e">
        <f>'Price Table 8 CS'!AB45+'Price Table 8 OHB'!AB45+'Price Table 8 Airbus'!AB45+'Price Table 8 RUAG'!AB45+'Price Table 8 Syderal'!AB45+'Price Table 8 APCO'!AB45+'Price Table 8 EPFL'!AB45+'Price Table 8 AIUB'!AB45</f>
        <v>#REF!</v>
      </c>
      <c r="AC45" s="123" t="e">
        <f>'Price Table 8 CS'!AC45+'Price Table 8 OHB'!AC45+'Price Table 8 Airbus'!AC45+'Price Table 8 RUAG'!AC45+'Price Table 8 Syderal'!AC45+'Price Table 8 APCO'!AC45+'Price Table 8 EPFL'!AC45+'Price Table 8 AIUB'!AC45</f>
        <v>#REF!</v>
      </c>
      <c r="AD45" s="123" t="e">
        <f>'Price Table 8 CS'!AD45+'Price Table 8 OHB'!AD45+'Price Table 8 Airbus'!AD45+'Price Table 8 RUAG'!AD45+'Price Table 8 Syderal'!AD45+'Price Table 8 APCO'!AD45+'Price Table 8 EPFL'!AD45+'Price Table 8 AIUB'!AD45</f>
        <v>#REF!</v>
      </c>
      <c r="AE45" s="123" t="e">
        <f>'Price Table 8 CS'!AE45+'Price Table 8 OHB'!AE45+'Price Table 8 Airbus'!AE45+'Price Table 8 RUAG'!AE45+'Price Table 8 Syderal'!AE45+'Price Table 8 APCO'!AE45+'Price Table 8 EPFL'!AE45+'Price Table 8 AIUB'!AE45</f>
        <v>#REF!</v>
      </c>
      <c r="AF45" s="123" t="e">
        <f>'Price Table 8 CS'!AF45+'Price Table 8 OHB'!AF45+'Price Table 8 Airbus'!AF45+'Price Table 8 RUAG'!AF45+'Price Table 8 Syderal'!AF45+'Price Table 8 APCO'!AF45+'Price Table 8 EPFL'!AF45+'Price Table 8 AIUB'!AF45</f>
        <v>#REF!</v>
      </c>
      <c r="AG45" s="123" t="e">
        <f>'Price Table 8 CS'!AG45+'Price Table 8 OHB'!AG45+'Price Table 8 Airbus'!AG45+'Price Table 8 RUAG'!AG45+'Price Table 8 Syderal'!AG45+'Price Table 8 APCO'!AG45+'Price Table 8 EPFL'!AG45+'Price Table 8 AIUB'!AG45</f>
        <v>#REF!</v>
      </c>
      <c r="AH45" s="124" t="e">
        <f t="shared" si="0"/>
        <v>#REF!</v>
      </c>
    </row>
    <row r="46" spans="1:39" s="16" customFormat="1">
      <c r="B46" s="45"/>
      <c r="C46" s="55"/>
      <c r="D46" s="56" t="s">
        <v>562</v>
      </c>
      <c r="E46" s="57"/>
      <c r="F46" s="57"/>
      <c r="G46" s="57"/>
    </row>
    <row r="47" spans="1:39">
      <c r="B47" s="48" t="s">
        <v>598</v>
      </c>
      <c r="C47" s="52"/>
      <c r="D47" s="50"/>
      <c r="H47" s="17"/>
      <c r="AH47"/>
    </row>
    <row r="48" spans="1:39">
      <c r="A48" t="s">
        <v>321</v>
      </c>
      <c r="B48" s="51" t="s">
        <v>599</v>
      </c>
      <c r="C48" s="53"/>
      <c r="D48" s="44"/>
      <c r="E48" s="36" t="s">
        <v>139</v>
      </c>
      <c r="F48" s="36" t="s">
        <v>13</v>
      </c>
      <c r="G48" s="36" t="str">
        <f>CONCATENATE(E48,F48)</f>
        <v>TECHManpower</v>
      </c>
      <c r="H48" s="63" t="s">
        <v>600</v>
      </c>
      <c r="I48" s="65" t="s">
        <v>601</v>
      </c>
      <c r="J48" s="123" t="e">
        <f>'Price Table 8 CS'!J48+'Price Table 8 OHB'!J48+'Price Table 8 Airbus'!J48+'Price Table 8 RUAG'!J48+'Price Table 8 Syderal'!J48+'Price Table 8 APCO'!J48+'Price Table 8 EPFL'!J48+'Price Table 8 AIUB'!J48</f>
        <v>#REF!</v>
      </c>
      <c r="K48" s="123" t="e">
        <f>'Price Table 8 CS'!K48+'Price Table 8 OHB'!K48+'Price Table 8 Airbus'!K48+'Price Table 8 RUAG'!K48+'Price Table 8 Syderal'!K48+'Price Table 8 APCO'!K48+'Price Table 8 EPFL'!K48+'Price Table 8 AIUB'!K48</f>
        <v>#REF!</v>
      </c>
      <c r="L48" s="123" t="e">
        <f>'Price Table 8 CS'!L48+'Price Table 8 OHB'!L48+'Price Table 8 Airbus'!L48+'Price Table 8 RUAG'!L48+'Price Table 8 Syderal'!L48+'Price Table 8 APCO'!L48+'Price Table 8 EPFL'!L48+'Price Table 8 AIUB'!L48</f>
        <v>#REF!</v>
      </c>
      <c r="M48" s="123" t="e">
        <f>'Price Table 8 CS'!M48+'Price Table 8 OHB'!M48+'Price Table 8 Airbus'!M48+'Price Table 8 RUAG'!M48+'Price Table 8 Syderal'!M48+'Price Table 8 APCO'!M48+'Price Table 8 EPFL'!M48+'Price Table 8 AIUB'!M48</f>
        <v>#REF!</v>
      </c>
      <c r="N48" s="123" t="e">
        <f>'Price Table 8 CS'!N48+'Price Table 8 OHB'!N48+'Price Table 8 Airbus'!N48+'Price Table 8 RUAG'!N48+'Price Table 8 Syderal'!N48+'Price Table 8 APCO'!N48+'Price Table 8 EPFL'!N48+'Price Table 8 AIUB'!N48</f>
        <v>#REF!</v>
      </c>
      <c r="O48" s="123" t="e">
        <f>'Price Table 8 CS'!O48+'Price Table 8 OHB'!O48+'Price Table 8 Airbus'!O48+'Price Table 8 RUAG'!O48+'Price Table 8 Syderal'!O48+'Price Table 8 APCO'!O48+'Price Table 8 EPFL'!O48+'Price Table 8 AIUB'!O48</f>
        <v>#REF!</v>
      </c>
      <c r="P48" s="123" t="e">
        <f>'Price Table 8 CS'!P48+'Price Table 8 OHB'!P48+'Price Table 8 Airbus'!P48+'Price Table 8 RUAG'!P48+'Price Table 8 Syderal'!P48+'Price Table 8 APCO'!P48+'Price Table 8 EPFL'!P48+'Price Table 8 AIUB'!P48</f>
        <v>#REF!</v>
      </c>
      <c r="Q48" s="123" t="e">
        <f>'Price Table 8 CS'!Q48+'Price Table 8 OHB'!Q48+'Price Table 8 Airbus'!Q48+'Price Table 8 RUAG'!Q48+'Price Table 8 Syderal'!Q48+'Price Table 8 APCO'!Q48+'Price Table 8 EPFL'!Q48+'Price Table 8 AIUB'!Q48</f>
        <v>#REF!</v>
      </c>
      <c r="R48" s="123" t="e">
        <f>'Price Table 8 CS'!R48+'Price Table 8 OHB'!R48+'Price Table 8 Airbus'!R48+'Price Table 8 RUAG'!R48+'Price Table 8 Syderal'!R48+'Price Table 8 APCO'!R48+'Price Table 8 EPFL'!R48+'Price Table 8 AIUB'!R48</f>
        <v>#REF!</v>
      </c>
      <c r="S48" s="123" t="e">
        <f>'Price Table 8 CS'!S48+'Price Table 8 OHB'!S48+'Price Table 8 Airbus'!S48+'Price Table 8 RUAG'!S48+'Price Table 8 Syderal'!S48+'Price Table 8 APCO'!S48+'Price Table 8 EPFL'!S48+'Price Table 8 AIUB'!S48</f>
        <v>#REF!</v>
      </c>
      <c r="T48" s="123" t="e">
        <f>'Price Table 8 CS'!T48+'Price Table 8 OHB'!T48+'Price Table 8 Airbus'!T48+'Price Table 8 RUAG'!T48+'Price Table 8 Syderal'!T48+'Price Table 8 APCO'!T48+'Price Table 8 EPFL'!T48+'Price Table 8 AIUB'!T48</f>
        <v>#REF!</v>
      </c>
      <c r="U48" s="123" t="e">
        <f>'Price Table 8 CS'!U48+'Price Table 8 OHB'!U48+'Price Table 8 Airbus'!U48+'Price Table 8 RUAG'!U48+'Price Table 8 Syderal'!U48+'Price Table 8 APCO'!U48+'Price Table 8 EPFL'!U48+'Price Table 8 AIUB'!U48</f>
        <v>#REF!</v>
      </c>
      <c r="V48" s="123" t="e">
        <f>'Price Table 8 CS'!V48+'Price Table 8 OHB'!V48+'Price Table 8 Airbus'!V48+'Price Table 8 RUAG'!V48+'Price Table 8 Syderal'!V48+'Price Table 8 APCO'!V48+'Price Table 8 EPFL'!V48+'Price Table 8 AIUB'!V48</f>
        <v>#REF!</v>
      </c>
      <c r="W48" s="123" t="e">
        <f>'Price Table 8 CS'!W48+'Price Table 8 OHB'!W48+'Price Table 8 Airbus'!W48+'Price Table 8 RUAG'!W48+'Price Table 8 Syderal'!W48+'Price Table 8 APCO'!W48+'Price Table 8 EPFL'!W48+'Price Table 8 AIUB'!W48</f>
        <v>#REF!</v>
      </c>
      <c r="X48" s="123" t="e">
        <f>'Price Table 8 CS'!X48+'Price Table 8 OHB'!X48+'Price Table 8 Airbus'!X48+'Price Table 8 RUAG'!X48+'Price Table 8 Syderal'!X48+'Price Table 8 APCO'!X48+'Price Table 8 EPFL'!X48+'Price Table 8 AIUB'!X48</f>
        <v>#REF!</v>
      </c>
      <c r="Y48" s="123" t="e">
        <f>'Price Table 8 CS'!Y48+'Price Table 8 OHB'!Y48+'Price Table 8 Airbus'!Y48+'Price Table 8 RUAG'!Y48+'Price Table 8 Syderal'!Y48+'Price Table 8 APCO'!Y48+'Price Table 8 EPFL'!Y48+'Price Table 8 AIUB'!Y48</f>
        <v>#REF!</v>
      </c>
      <c r="Z48" s="123" t="e">
        <f>'Price Table 8 CS'!Z48+'Price Table 8 OHB'!Z48+'Price Table 8 Airbus'!Z48+'Price Table 8 RUAG'!Z48+'Price Table 8 Syderal'!Z48+'Price Table 8 APCO'!Z48+'Price Table 8 EPFL'!Z48+'Price Table 8 AIUB'!Z48</f>
        <v>#REF!</v>
      </c>
      <c r="AA48" s="123" t="e">
        <f>'Price Table 8 CS'!AA48+'Price Table 8 OHB'!AA48+'Price Table 8 Airbus'!AA48+'Price Table 8 RUAG'!AA48+'Price Table 8 Syderal'!AA48+'Price Table 8 APCO'!AA48+'Price Table 8 EPFL'!AA48+'Price Table 8 AIUB'!AA48</f>
        <v>#REF!</v>
      </c>
      <c r="AB48" s="123" t="e">
        <f>'Price Table 8 CS'!AB48+'Price Table 8 OHB'!AB48+'Price Table 8 Airbus'!AB48+'Price Table 8 RUAG'!AB48+'Price Table 8 Syderal'!AB48+'Price Table 8 APCO'!AB48+'Price Table 8 EPFL'!AB48+'Price Table 8 AIUB'!AB48</f>
        <v>#REF!</v>
      </c>
      <c r="AC48" s="123" t="e">
        <f>'Price Table 8 CS'!AC48+'Price Table 8 OHB'!AC48+'Price Table 8 Airbus'!AC48+'Price Table 8 RUAG'!AC48+'Price Table 8 Syderal'!AC48+'Price Table 8 APCO'!AC48+'Price Table 8 EPFL'!AC48+'Price Table 8 AIUB'!AC48</f>
        <v>#REF!</v>
      </c>
      <c r="AD48" s="123" t="e">
        <f>'Price Table 8 CS'!AD48+'Price Table 8 OHB'!AD48+'Price Table 8 Airbus'!AD48+'Price Table 8 RUAG'!AD48+'Price Table 8 Syderal'!AD48+'Price Table 8 APCO'!AD48+'Price Table 8 EPFL'!AD48+'Price Table 8 AIUB'!AD48</f>
        <v>#REF!</v>
      </c>
      <c r="AE48" s="123" t="e">
        <f>'Price Table 8 CS'!AE48+'Price Table 8 OHB'!AE48+'Price Table 8 Airbus'!AE48+'Price Table 8 RUAG'!AE48+'Price Table 8 Syderal'!AE48+'Price Table 8 APCO'!AE48+'Price Table 8 EPFL'!AE48+'Price Table 8 AIUB'!AE48</f>
        <v>#REF!</v>
      </c>
      <c r="AF48" s="123" t="e">
        <f>'Price Table 8 CS'!AF48+'Price Table 8 OHB'!AF48+'Price Table 8 Airbus'!AF48+'Price Table 8 RUAG'!AF48+'Price Table 8 Syderal'!AF48+'Price Table 8 APCO'!AF48+'Price Table 8 EPFL'!AF48+'Price Table 8 AIUB'!AF48</f>
        <v>#REF!</v>
      </c>
      <c r="AG48" s="123" t="e">
        <f>'Price Table 8 CS'!AG48+'Price Table 8 OHB'!AG48+'Price Table 8 Airbus'!AG48+'Price Table 8 RUAG'!AG48+'Price Table 8 Syderal'!AG48+'Price Table 8 APCO'!AG48+'Price Table 8 EPFL'!AG48+'Price Table 8 AIUB'!AG48</f>
        <v>#REF!</v>
      </c>
      <c r="AH48" s="124" t="e">
        <f t="shared" si="0"/>
        <v>#REF!</v>
      </c>
    </row>
    <row r="49" spans="1:38">
      <c r="A49" t="s">
        <v>602</v>
      </c>
      <c r="B49" s="51" t="s">
        <v>603</v>
      </c>
      <c r="C49" s="53"/>
      <c r="D49" s="44"/>
      <c r="E49" s="36" t="s">
        <v>139</v>
      </c>
      <c r="F49" s="36" t="s">
        <v>117</v>
      </c>
      <c r="G49" s="36" t="str">
        <f>CONCATENATE(E49,F49)</f>
        <v>TECHProcurement</v>
      </c>
      <c r="H49" s="63" t="s">
        <v>600</v>
      </c>
      <c r="I49" s="65" t="s">
        <v>601</v>
      </c>
      <c r="J49" s="123" t="e">
        <f>'Price Table 8 CS'!J49+'Price Table 8 OHB'!J49+'Price Table 8 Airbus'!J49+'Price Table 8 RUAG'!J49+'Price Table 8 Syderal'!J49+'Price Table 8 APCO'!J49+'Price Table 8 EPFL'!J49+'Price Table 8 AIUB'!J49</f>
        <v>#REF!</v>
      </c>
      <c r="K49" s="123" t="e">
        <f>'Price Table 8 CS'!K49+'Price Table 8 OHB'!K49+'Price Table 8 Airbus'!K49+'Price Table 8 RUAG'!K49+'Price Table 8 Syderal'!K49+'Price Table 8 APCO'!K49+'Price Table 8 EPFL'!K49+'Price Table 8 AIUB'!K49</f>
        <v>#REF!</v>
      </c>
      <c r="L49" s="123" t="e">
        <f>'Price Table 8 CS'!L49+'Price Table 8 OHB'!L49+'Price Table 8 Airbus'!L49+'Price Table 8 RUAG'!L49+'Price Table 8 Syderal'!L49+'Price Table 8 APCO'!L49+'Price Table 8 EPFL'!L49+'Price Table 8 AIUB'!L49</f>
        <v>#REF!</v>
      </c>
      <c r="M49" s="123" t="e">
        <f>'Price Table 8 CS'!M49+'Price Table 8 OHB'!M49+'Price Table 8 Airbus'!M49+'Price Table 8 RUAG'!M49+'Price Table 8 Syderal'!M49+'Price Table 8 APCO'!M49+'Price Table 8 EPFL'!M49+'Price Table 8 AIUB'!M49</f>
        <v>#REF!</v>
      </c>
      <c r="N49" s="123" t="e">
        <f>'Price Table 8 CS'!N49+'Price Table 8 OHB'!N49+'Price Table 8 Airbus'!N49+'Price Table 8 RUAG'!N49+'Price Table 8 Syderal'!N49+'Price Table 8 APCO'!N49+'Price Table 8 EPFL'!N49+'Price Table 8 AIUB'!N49</f>
        <v>#REF!</v>
      </c>
      <c r="O49" s="123" t="e">
        <f>'Price Table 8 CS'!O49+'Price Table 8 OHB'!O49+'Price Table 8 Airbus'!O49+'Price Table 8 RUAG'!O49+'Price Table 8 Syderal'!O49+'Price Table 8 APCO'!O49+'Price Table 8 EPFL'!O49+'Price Table 8 AIUB'!O49</f>
        <v>#REF!</v>
      </c>
      <c r="P49" s="123" t="e">
        <f>'Price Table 8 CS'!P49+'Price Table 8 OHB'!P49+'Price Table 8 Airbus'!P49+'Price Table 8 RUAG'!P49+'Price Table 8 Syderal'!P49+'Price Table 8 APCO'!P49+'Price Table 8 EPFL'!P49+'Price Table 8 AIUB'!P49</f>
        <v>#REF!</v>
      </c>
      <c r="Q49" s="123" t="e">
        <f>'Price Table 8 CS'!Q49+'Price Table 8 OHB'!Q49+'Price Table 8 Airbus'!Q49+'Price Table 8 RUAG'!Q49+'Price Table 8 Syderal'!Q49+'Price Table 8 APCO'!Q49+'Price Table 8 EPFL'!Q49+'Price Table 8 AIUB'!Q49</f>
        <v>#REF!</v>
      </c>
      <c r="R49" s="123" t="e">
        <f>'Price Table 8 CS'!R49+'Price Table 8 OHB'!R49+'Price Table 8 Airbus'!R49+'Price Table 8 RUAG'!R49+'Price Table 8 Syderal'!R49+'Price Table 8 APCO'!R49+'Price Table 8 EPFL'!R49+'Price Table 8 AIUB'!R49</f>
        <v>#REF!</v>
      </c>
      <c r="S49" s="123" t="e">
        <f>'Price Table 8 CS'!S49+'Price Table 8 OHB'!S49+'Price Table 8 Airbus'!S49+'Price Table 8 RUAG'!S49+'Price Table 8 Syderal'!S49+'Price Table 8 APCO'!S49+'Price Table 8 EPFL'!S49+'Price Table 8 AIUB'!S49</f>
        <v>#REF!</v>
      </c>
      <c r="T49" s="123" t="e">
        <f>'Price Table 8 CS'!T49+'Price Table 8 OHB'!T49+'Price Table 8 Airbus'!T49+'Price Table 8 RUAG'!T49+'Price Table 8 Syderal'!T49+'Price Table 8 APCO'!T49+'Price Table 8 EPFL'!T49+'Price Table 8 AIUB'!T49</f>
        <v>#REF!</v>
      </c>
      <c r="U49" s="123" t="e">
        <f>'Price Table 8 CS'!U49+'Price Table 8 OHB'!U49+'Price Table 8 Airbus'!U49+'Price Table 8 RUAG'!U49+'Price Table 8 Syderal'!U49+'Price Table 8 APCO'!U49+'Price Table 8 EPFL'!U49+'Price Table 8 AIUB'!U49</f>
        <v>#REF!</v>
      </c>
      <c r="V49" s="123" t="e">
        <f>'Price Table 8 CS'!V49+'Price Table 8 OHB'!V49+'Price Table 8 Airbus'!V49+'Price Table 8 RUAG'!V49+'Price Table 8 Syderal'!V49+'Price Table 8 APCO'!V49+'Price Table 8 EPFL'!V49+'Price Table 8 AIUB'!V49</f>
        <v>#REF!</v>
      </c>
      <c r="W49" s="123" t="e">
        <f>'Price Table 8 CS'!W49+'Price Table 8 OHB'!W49+'Price Table 8 Airbus'!W49+'Price Table 8 RUAG'!W49+'Price Table 8 Syderal'!W49+'Price Table 8 APCO'!W49+'Price Table 8 EPFL'!W49+'Price Table 8 AIUB'!W49</f>
        <v>#REF!</v>
      </c>
      <c r="X49" s="123" t="e">
        <f>'Price Table 8 CS'!X49+'Price Table 8 OHB'!X49+'Price Table 8 Airbus'!X49+'Price Table 8 RUAG'!X49+'Price Table 8 Syderal'!X49+'Price Table 8 APCO'!X49+'Price Table 8 EPFL'!X49+'Price Table 8 AIUB'!X49</f>
        <v>#REF!</v>
      </c>
      <c r="Y49" s="123" t="e">
        <f>'Price Table 8 CS'!Y49+'Price Table 8 OHB'!Y49+'Price Table 8 Airbus'!Y49+'Price Table 8 RUAG'!Y49+'Price Table 8 Syderal'!Y49+'Price Table 8 APCO'!Y49+'Price Table 8 EPFL'!Y49+'Price Table 8 AIUB'!Y49</f>
        <v>#REF!</v>
      </c>
      <c r="Z49" s="123" t="e">
        <f>'Price Table 8 CS'!Z49+'Price Table 8 OHB'!Z49+'Price Table 8 Airbus'!Z49+'Price Table 8 RUAG'!Z49+'Price Table 8 Syderal'!Z49+'Price Table 8 APCO'!Z49+'Price Table 8 EPFL'!Z49+'Price Table 8 AIUB'!Z49</f>
        <v>#REF!</v>
      </c>
      <c r="AA49" s="123" t="e">
        <f>'Price Table 8 CS'!AA49+'Price Table 8 OHB'!AA49+'Price Table 8 Airbus'!AA49+'Price Table 8 RUAG'!AA49+'Price Table 8 Syderal'!AA49+'Price Table 8 APCO'!AA49+'Price Table 8 EPFL'!AA49+'Price Table 8 AIUB'!AA49</f>
        <v>#REF!</v>
      </c>
      <c r="AB49" s="123" t="e">
        <f>'Price Table 8 CS'!AB49+'Price Table 8 OHB'!AB49+'Price Table 8 Airbus'!AB49+'Price Table 8 RUAG'!AB49+'Price Table 8 Syderal'!AB49+'Price Table 8 APCO'!AB49+'Price Table 8 EPFL'!AB49+'Price Table 8 AIUB'!AB49</f>
        <v>#REF!</v>
      </c>
      <c r="AC49" s="123" t="e">
        <f>'Price Table 8 CS'!AC49+'Price Table 8 OHB'!AC49+'Price Table 8 Airbus'!AC49+'Price Table 8 RUAG'!AC49+'Price Table 8 Syderal'!AC49+'Price Table 8 APCO'!AC49+'Price Table 8 EPFL'!AC49+'Price Table 8 AIUB'!AC49</f>
        <v>#REF!</v>
      </c>
      <c r="AD49" s="123" t="e">
        <f>'Price Table 8 CS'!AD49+'Price Table 8 OHB'!AD49+'Price Table 8 Airbus'!AD49+'Price Table 8 RUAG'!AD49+'Price Table 8 Syderal'!AD49+'Price Table 8 APCO'!AD49+'Price Table 8 EPFL'!AD49+'Price Table 8 AIUB'!AD49</f>
        <v>#REF!</v>
      </c>
      <c r="AE49" s="123" t="e">
        <f>'Price Table 8 CS'!AE49+'Price Table 8 OHB'!AE49+'Price Table 8 Airbus'!AE49+'Price Table 8 RUAG'!AE49+'Price Table 8 Syderal'!AE49+'Price Table 8 APCO'!AE49+'Price Table 8 EPFL'!AE49+'Price Table 8 AIUB'!AE49</f>
        <v>#REF!</v>
      </c>
      <c r="AF49" s="123" t="e">
        <f>'Price Table 8 CS'!AF49+'Price Table 8 OHB'!AF49+'Price Table 8 Airbus'!AF49+'Price Table 8 RUAG'!AF49+'Price Table 8 Syderal'!AF49+'Price Table 8 APCO'!AF49+'Price Table 8 EPFL'!AF49+'Price Table 8 AIUB'!AF49</f>
        <v>#REF!</v>
      </c>
      <c r="AG49" s="123" t="e">
        <f>'Price Table 8 CS'!AG49+'Price Table 8 OHB'!AG49+'Price Table 8 Airbus'!AG49+'Price Table 8 RUAG'!AG49+'Price Table 8 Syderal'!AG49+'Price Table 8 APCO'!AG49+'Price Table 8 EPFL'!AG49+'Price Table 8 AIUB'!AG49</f>
        <v>#REF!</v>
      </c>
      <c r="AH49" s="124" t="e">
        <f t="shared" si="0"/>
        <v>#REF!</v>
      </c>
    </row>
    <row r="50" spans="1:38" s="16" customFormat="1">
      <c r="B50" s="45"/>
      <c r="C50" s="55"/>
      <c r="D50" s="56" t="s">
        <v>562</v>
      </c>
      <c r="E50" s="57"/>
      <c r="F50" s="57"/>
      <c r="G50" s="57"/>
      <c r="H50" s="63"/>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row>
    <row r="51" spans="1:38">
      <c r="B51" s="48" t="s">
        <v>604</v>
      </c>
      <c r="C51" s="52"/>
      <c r="D51" s="50"/>
      <c r="H51" s="17"/>
      <c r="AH51"/>
    </row>
    <row r="52" spans="1:38">
      <c r="A52" t="s">
        <v>336</v>
      </c>
      <c r="B52" s="51" t="s">
        <v>605</v>
      </c>
      <c r="C52" s="53"/>
      <c r="D52" s="44"/>
      <c r="E52" s="36" t="s">
        <v>139</v>
      </c>
      <c r="F52" s="36" t="s">
        <v>13</v>
      </c>
      <c r="G52" s="36" t="str">
        <f>CONCATENATE(E52,F52)</f>
        <v>TECHManpower</v>
      </c>
      <c r="H52" s="63">
        <v>490600</v>
      </c>
      <c r="J52" s="123" t="e">
        <f>'Price Table 8 CS'!J52+'Price Table 8 OHB'!J52+'Price Table 8 Airbus'!J52+'Price Table 8 RUAG'!J52+'Price Table 8 Syderal'!J52+'Price Table 8 APCO'!J52+'Price Table 8 EPFL'!J52+'Price Table 8 AIUB'!J52</f>
        <v>#REF!</v>
      </c>
      <c r="K52" s="123" t="e">
        <f>'Price Table 8 CS'!K52+'Price Table 8 OHB'!K52+'Price Table 8 Airbus'!K52+'Price Table 8 RUAG'!K52+'Price Table 8 Syderal'!K52+'Price Table 8 APCO'!K52+'Price Table 8 EPFL'!K52+'Price Table 8 AIUB'!K52</f>
        <v>#REF!</v>
      </c>
      <c r="L52" s="123" t="e">
        <f>'Price Table 8 CS'!L52+'Price Table 8 OHB'!L52+'Price Table 8 Airbus'!L52+'Price Table 8 RUAG'!L52+'Price Table 8 Syderal'!L52+'Price Table 8 APCO'!L52+'Price Table 8 EPFL'!L52+'Price Table 8 AIUB'!L52</f>
        <v>#REF!</v>
      </c>
      <c r="M52" s="123" t="e">
        <f>'Price Table 8 CS'!M52+'Price Table 8 OHB'!M52+'Price Table 8 Airbus'!M52+'Price Table 8 RUAG'!M52+'Price Table 8 Syderal'!M52+'Price Table 8 APCO'!M52+'Price Table 8 EPFL'!M52+'Price Table 8 AIUB'!M52</f>
        <v>#REF!</v>
      </c>
      <c r="N52" s="123" t="e">
        <f>'Price Table 8 CS'!N52+'Price Table 8 OHB'!N52+'Price Table 8 Airbus'!N52+'Price Table 8 RUAG'!N52+'Price Table 8 Syderal'!N52+'Price Table 8 APCO'!N52+'Price Table 8 EPFL'!N52+'Price Table 8 AIUB'!N52</f>
        <v>#REF!</v>
      </c>
      <c r="O52" s="123" t="e">
        <f>'Price Table 8 CS'!O52+'Price Table 8 OHB'!O52+'Price Table 8 Airbus'!O52+'Price Table 8 RUAG'!O52+'Price Table 8 Syderal'!O52+'Price Table 8 APCO'!O52+'Price Table 8 EPFL'!O52+'Price Table 8 AIUB'!O52</f>
        <v>#REF!</v>
      </c>
      <c r="P52" s="123" t="e">
        <f>'Price Table 8 CS'!P52+'Price Table 8 OHB'!P52+'Price Table 8 Airbus'!P52+'Price Table 8 RUAG'!P52+'Price Table 8 Syderal'!P52+'Price Table 8 APCO'!P52+'Price Table 8 EPFL'!P52+'Price Table 8 AIUB'!P52</f>
        <v>#REF!</v>
      </c>
      <c r="Q52" s="123" t="e">
        <f>'Price Table 8 CS'!Q52+'Price Table 8 OHB'!Q52+'Price Table 8 Airbus'!Q52+'Price Table 8 RUAG'!Q52+'Price Table 8 Syderal'!Q52+'Price Table 8 APCO'!Q52+'Price Table 8 EPFL'!Q52+'Price Table 8 AIUB'!Q52</f>
        <v>#REF!</v>
      </c>
      <c r="R52" s="123" t="e">
        <f>'Price Table 8 CS'!R52+'Price Table 8 OHB'!R52+'Price Table 8 Airbus'!R52+'Price Table 8 RUAG'!R52+'Price Table 8 Syderal'!R52+'Price Table 8 APCO'!R52+'Price Table 8 EPFL'!R52+'Price Table 8 AIUB'!R52</f>
        <v>#REF!</v>
      </c>
      <c r="S52" s="123" t="e">
        <f>'Price Table 8 CS'!S52+'Price Table 8 OHB'!S52+'Price Table 8 Airbus'!S52+'Price Table 8 RUAG'!S52+'Price Table 8 Syderal'!S52+'Price Table 8 APCO'!S52+'Price Table 8 EPFL'!S52+'Price Table 8 AIUB'!S52</f>
        <v>#REF!</v>
      </c>
      <c r="T52" s="123" t="e">
        <f>'Price Table 8 CS'!T52+'Price Table 8 OHB'!T52+'Price Table 8 Airbus'!T52+'Price Table 8 RUAG'!T52+'Price Table 8 Syderal'!T52+'Price Table 8 APCO'!T52+'Price Table 8 EPFL'!T52+'Price Table 8 AIUB'!T52</f>
        <v>#REF!</v>
      </c>
      <c r="U52" s="123" t="e">
        <f>'Price Table 8 CS'!U52+'Price Table 8 OHB'!U52+'Price Table 8 Airbus'!U52+'Price Table 8 RUAG'!U52+'Price Table 8 Syderal'!U52+'Price Table 8 APCO'!U52+'Price Table 8 EPFL'!U52+'Price Table 8 AIUB'!U52</f>
        <v>#REF!</v>
      </c>
      <c r="V52" s="123" t="e">
        <f>'Price Table 8 CS'!V52+'Price Table 8 OHB'!V52+'Price Table 8 Airbus'!V52+'Price Table 8 RUAG'!V52+'Price Table 8 Syderal'!V52+'Price Table 8 APCO'!V52+'Price Table 8 EPFL'!V52+'Price Table 8 AIUB'!V52</f>
        <v>#REF!</v>
      </c>
      <c r="W52" s="123" t="e">
        <f>'Price Table 8 CS'!W52+'Price Table 8 OHB'!W52+'Price Table 8 Airbus'!W52+'Price Table 8 RUAG'!W52+'Price Table 8 Syderal'!W52+'Price Table 8 APCO'!W52+'Price Table 8 EPFL'!W52+'Price Table 8 AIUB'!W52</f>
        <v>#REF!</v>
      </c>
      <c r="X52" s="123" t="e">
        <f>'Price Table 8 CS'!X52+'Price Table 8 OHB'!X52+'Price Table 8 Airbus'!X52+'Price Table 8 RUAG'!X52+'Price Table 8 Syderal'!X52+'Price Table 8 APCO'!X52+'Price Table 8 EPFL'!X52+'Price Table 8 AIUB'!X52</f>
        <v>#REF!</v>
      </c>
      <c r="Y52" s="123" t="e">
        <f>'Price Table 8 CS'!Y52+'Price Table 8 OHB'!Y52+'Price Table 8 Airbus'!Y52+'Price Table 8 RUAG'!Y52+'Price Table 8 Syderal'!Y52+'Price Table 8 APCO'!Y52+'Price Table 8 EPFL'!Y52+'Price Table 8 AIUB'!Y52</f>
        <v>#REF!</v>
      </c>
      <c r="Z52" s="123" t="e">
        <f>'Price Table 8 CS'!Z52+'Price Table 8 OHB'!Z52+'Price Table 8 Airbus'!Z52+'Price Table 8 RUAG'!Z52+'Price Table 8 Syderal'!Z52+'Price Table 8 APCO'!Z52+'Price Table 8 EPFL'!Z52+'Price Table 8 AIUB'!Z52</f>
        <v>#REF!</v>
      </c>
      <c r="AA52" s="123" t="e">
        <f>'Price Table 8 CS'!AA52+'Price Table 8 OHB'!AA52+'Price Table 8 Airbus'!AA52+'Price Table 8 RUAG'!AA52+'Price Table 8 Syderal'!AA52+'Price Table 8 APCO'!AA52+'Price Table 8 EPFL'!AA52+'Price Table 8 AIUB'!AA52</f>
        <v>#REF!</v>
      </c>
      <c r="AB52" s="123" t="e">
        <f>'Price Table 8 CS'!AB52+'Price Table 8 OHB'!AB52+'Price Table 8 Airbus'!AB52+'Price Table 8 RUAG'!AB52+'Price Table 8 Syderal'!AB52+'Price Table 8 APCO'!AB52+'Price Table 8 EPFL'!AB52+'Price Table 8 AIUB'!AB52</f>
        <v>#REF!</v>
      </c>
      <c r="AC52" s="123" t="e">
        <f>'Price Table 8 CS'!AC52+'Price Table 8 OHB'!AC52+'Price Table 8 Airbus'!AC52+'Price Table 8 RUAG'!AC52+'Price Table 8 Syderal'!AC52+'Price Table 8 APCO'!AC52+'Price Table 8 EPFL'!AC52+'Price Table 8 AIUB'!AC52</f>
        <v>#REF!</v>
      </c>
      <c r="AD52" s="123" t="e">
        <f>'Price Table 8 CS'!AD52+'Price Table 8 OHB'!AD52+'Price Table 8 Airbus'!AD52+'Price Table 8 RUAG'!AD52+'Price Table 8 Syderal'!AD52+'Price Table 8 APCO'!AD52+'Price Table 8 EPFL'!AD52+'Price Table 8 AIUB'!AD52</f>
        <v>#REF!</v>
      </c>
      <c r="AE52" s="123" t="e">
        <f>'Price Table 8 CS'!AE52+'Price Table 8 OHB'!AE52+'Price Table 8 Airbus'!AE52+'Price Table 8 RUAG'!AE52+'Price Table 8 Syderal'!AE52+'Price Table 8 APCO'!AE52+'Price Table 8 EPFL'!AE52+'Price Table 8 AIUB'!AE52</f>
        <v>#REF!</v>
      </c>
      <c r="AF52" s="123" t="e">
        <f>'Price Table 8 CS'!AF52+'Price Table 8 OHB'!AF52+'Price Table 8 Airbus'!AF52+'Price Table 8 RUAG'!AF52+'Price Table 8 Syderal'!AF52+'Price Table 8 APCO'!AF52+'Price Table 8 EPFL'!AF52+'Price Table 8 AIUB'!AF52</f>
        <v>#REF!</v>
      </c>
      <c r="AG52" s="123" t="e">
        <f>'Price Table 8 CS'!AG52+'Price Table 8 OHB'!AG52+'Price Table 8 Airbus'!AG52+'Price Table 8 RUAG'!AG52+'Price Table 8 Syderal'!AG52+'Price Table 8 APCO'!AG52+'Price Table 8 EPFL'!AG52+'Price Table 8 AIUB'!AG52</f>
        <v>#REF!</v>
      </c>
      <c r="AH52" s="124" t="e">
        <f t="shared" si="0"/>
        <v>#REF!</v>
      </c>
    </row>
    <row r="53" spans="1:38">
      <c r="A53" t="s">
        <v>606</v>
      </c>
      <c r="B53" s="51" t="s">
        <v>607</v>
      </c>
      <c r="C53" s="53"/>
      <c r="D53" s="44"/>
      <c r="E53" s="36" t="s">
        <v>139</v>
      </c>
      <c r="F53" s="36" t="s">
        <v>117</v>
      </c>
      <c r="G53" s="36" t="str">
        <f>CONCATENATE(E53,F53)</f>
        <v>TECHProcurement</v>
      </c>
      <c r="H53" s="63">
        <v>490600</v>
      </c>
      <c r="J53" s="123" t="e">
        <f>'Price Table 8 CS'!J53+'Price Table 8 OHB'!J53+'Price Table 8 Airbus'!J53+'Price Table 8 RUAG'!J53+'Price Table 8 Syderal'!J53+'Price Table 8 APCO'!J53+'Price Table 8 EPFL'!J53+'Price Table 8 AIUB'!J53</f>
        <v>#REF!</v>
      </c>
      <c r="K53" s="123" t="e">
        <f>'Price Table 8 CS'!K53+'Price Table 8 OHB'!K53+'Price Table 8 Airbus'!K53+'Price Table 8 RUAG'!K53+'Price Table 8 Syderal'!K53+'Price Table 8 APCO'!K53+'Price Table 8 EPFL'!K53+'Price Table 8 AIUB'!K53</f>
        <v>#REF!</v>
      </c>
      <c r="L53" s="123" t="e">
        <f>'Price Table 8 CS'!L53+'Price Table 8 OHB'!L53+'Price Table 8 Airbus'!L53+'Price Table 8 RUAG'!L53+'Price Table 8 Syderal'!L53+'Price Table 8 APCO'!L53+'Price Table 8 EPFL'!L53+'Price Table 8 AIUB'!L53</f>
        <v>#REF!</v>
      </c>
      <c r="M53" s="123" t="e">
        <f>'Price Table 8 CS'!M53+'Price Table 8 OHB'!M53+'Price Table 8 Airbus'!M53+'Price Table 8 RUAG'!M53+'Price Table 8 Syderal'!M53+'Price Table 8 APCO'!M53+'Price Table 8 EPFL'!M53+'Price Table 8 AIUB'!M53</f>
        <v>#REF!</v>
      </c>
      <c r="N53" s="123" t="e">
        <f>'Price Table 8 CS'!N53+'Price Table 8 OHB'!N53+'Price Table 8 Airbus'!N53+'Price Table 8 RUAG'!N53+'Price Table 8 Syderal'!N53+'Price Table 8 APCO'!N53+'Price Table 8 EPFL'!N53+'Price Table 8 AIUB'!N53</f>
        <v>#REF!</v>
      </c>
      <c r="O53" s="123" t="e">
        <f>'Price Table 8 CS'!O53+'Price Table 8 OHB'!O53+'Price Table 8 Airbus'!O53+'Price Table 8 RUAG'!O53+'Price Table 8 Syderal'!O53+'Price Table 8 APCO'!O53+'Price Table 8 EPFL'!O53+'Price Table 8 AIUB'!O53</f>
        <v>#REF!</v>
      </c>
      <c r="P53" s="123" t="e">
        <f>'Price Table 8 CS'!P53+'Price Table 8 OHB'!P53+'Price Table 8 Airbus'!P53+'Price Table 8 RUAG'!P53+'Price Table 8 Syderal'!P53+'Price Table 8 APCO'!P53+'Price Table 8 EPFL'!P53+'Price Table 8 AIUB'!P53</f>
        <v>#REF!</v>
      </c>
      <c r="Q53" s="123" t="e">
        <f>'Price Table 8 CS'!Q53+'Price Table 8 OHB'!Q53+'Price Table 8 Airbus'!Q53+'Price Table 8 RUAG'!Q53+'Price Table 8 Syderal'!Q53+'Price Table 8 APCO'!Q53+'Price Table 8 EPFL'!Q53+'Price Table 8 AIUB'!Q53</f>
        <v>#REF!</v>
      </c>
      <c r="R53" s="123" t="e">
        <f>'Price Table 8 CS'!R53+'Price Table 8 OHB'!R53+'Price Table 8 Airbus'!R53+'Price Table 8 RUAG'!R53+'Price Table 8 Syderal'!R53+'Price Table 8 APCO'!R53+'Price Table 8 EPFL'!R53+'Price Table 8 AIUB'!R53</f>
        <v>#REF!</v>
      </c>
      <c r="S53" s="123" t="e">
        <f>'Price Table 8 CS'!S53+'Price Table 8 OHB'!S53+'Price Table 8 Airbus'!S53+'Price Table 8 RUAG'!S53+'Price Table 8 Syderal'!S53+'Price Table 8 APCO'!S53+'Price Table 8 EPFL'!S53+'Price Table 8 AIUB'!S53</f>
        <v>#REF!</v>
      </c>
      <c r="T53" s="123" t="e">
        <f>'Price Table 8 CS'!T53+'Price Table 8 OHB'!T53+'Price Table 8 Airbus'!T53+'Price Table 8 RUAG'!T53+'Price Table 8 Syderal'!T53+'Price Table 8 APCO'!T53+'Price Table 8 EPFL'!T53+'Price Table 8 AIUB'!T53</f>
        <v>#REF!</v>
      </c>
      <c r="U53" s="123" t="e">
        <f>'Price Table 8 CS'!U53+'Price Table 8 OHB'!U53+'Price Table 8 Airbus'!U53+'Price Table 8 RUAG'!U53+'Price Table 8 Syderal'!U53+'Price Table 8 APCO'!U53+'Price Table 8 EPFL'!U53+'Price Table 8 AIUB'!U53</f>
        <v>#REF!</v>
      </c>
      <c r="V53" s="123" t="e">
        <f>'Price Table 8 CS'!V53+'Price Table 8 OHB'!V53+'Price Table 8 Airbus'!V53+'Price Table 8 RUAG'!V53+'Price Table 8 Syderal'!V53+'Price Table 8 APCO'!V53+'Price Table 8 EPFL'!V53+'Price Table 8 AIUB'!V53</f>
        <v>#REF!</v>
      </c>
      <c r="W53" s="123" t="e">
        <f>'Price Table 8 CS'!W53+'Price Table 8 OHB'!W53+'Price Table 8 Airbus'!W53+'Price Table 8 RUAG'!W53+'Price Table 8 Syderal'!W53+'Price Table 8 APCO'!W53+'Price Table 8 EPFL'!W53+'Price Table 8 AIUB'!W53</f>
        <v>#REF!</v>
      </c>
      <c r="X53" s="123" t="e">
        <f>'Price Table 8 CS'!X53+'Price Table 8 OHB'!X53+'Price Table 8 Airbus'!X53+'Price Table 8 RUAG'!X53+'Price Table 8 Syderal'!X53+'Price Table 8 APCO'!X53+'Price Table 8 EPFL'!X53+'Price Table 8 AIUB'!X53</f>
        <v>#REF!</v>
      </c>
      <c r="Y53" s="123" t="e">
        <f>'Price Table 8 CS'!Y53+'Price Table 8 OHB'!Y53+'Price Table 8 Airbus'!Y53+'Price Table 8 RUAG'!Y53+'Price Table 8 Syderal'!Y53+'Price Table 8 APCO'!Y53+'Price Table 8 EPFL'!Y53+'Price Table 8 AIUB'!Y53</f>
        <v>#REF!</v>
      </c>
      <c r="Z53" s="123" t="e">
        <f>'Price Table 8 CS'!Z53+'Price Table 8 OHB'!Z53+'Price Table 8 Airbus'!Z53+'Price Table 8 RUAG'!Z53+'Price Table 8 Syderal'!Z53+'Price Table 8 APCO'!Z53+'Price Table 8 EPFL'!Z53+'Price Table 8 AIUB'!Z53</f>
        <v>#REF!</v>
      </c>
      <c r="AA53" s="123" t="e">
        <f>'Price Table 8 CS'!AA53+'Price Table 8 OHB'!AA53+'Price Table 8 Airbus'!AA53+'Price Table 8 RUAG'!AA53+'Price Table 8 Syderal'!AA53+'Price Table 8 APCO'!AA53+'Price Table 8 EPFL'!AA53+'Price Table 8 AIUB'!AA53</f>
        <v>#REF!</v>
      </c>
      <c r="AB53" s="123" t="e">
        <f>'Price Table 8 CS'!AB53+'Price Table 8 OHB'!AB53+'Price Table 8 Airbus'!AB53+'Price Table 8 RUAG'!AB53+'Price Table 8 Syderal'!AB53+'Price Table 8 APCO'!AB53+'Price Table 8 EPFL'!AB53+'Price Table 8 AIUB'!AB53</f>
        <v>#REF!</v>
      </c>
      <c r="AC53" s="123" t="e">
        <f>'Price Table 8 CS'!AC53+'Price Table 8 OHB'!AC53+'Price Table 8 Airbus'!AC53+'Price Table 8 RUAG'!AC53+'Price Table 8 Syderal'!AC53+'Price Table 8 APCO'!AC53+'Price Table 8 EPFL'!AC53+'Price Table 8 AIUB'!AC53</f>
        <v>#REF!</v>
      </c>
      <c r="AD53" s="123" t="e">
        <f>'Price Table 8 CS'!AD53+'Price Table 8 OHB'!AD53+'Price Table 8 Airbus'!AD53+'Price Table 8 RUAG'!AD53+'Price Table 8 Syderal'!AD53+'Price Table 8 APCO'!AD53+'Price Table 8 EPFL'!AD53+'Price Table 8 AIUB'!AD53</f>
        <v>#REF!</v>
      </c>
      <c r="AE53" s="123" t="e">
        <f>'Price Table 8 CS'!AE53+'Price Table 8 OHB'!AE53+'Price Table 8 Airbus'!AE53+'Price Table 8 RUAG'!AE53+'Price Table 8 Syderal'!AE53+'Price Table 8 APCO'!AE53+'Price Table 8 EPFL'!AE53+'Price Table 8 AIUB'!AE53</f>
        <v>#REF!</v>
      </c>
      <c r="AF53" s="123" t="e">
        <f>'Price Table 8 CS'!AF53+'Price Table 8 OHB'!AF53+'Price Table 8 Airbus'!AF53+'Price Table 8 RUAG'!AF53+'Price Table 8 Syderal'!AF53+'Price Table 8 APCO'!AF53+'Price Table 8 EPFL'!AF53+'Price Table 8 AIUB'!AF53</f>
        <v>#REF!</v>
      </c>
      <c r="AG53" s="123" t="e">
        <f>'Price Table 8 CS'!AG53+'Price Table 8 OHB'!AG53+'Price Table 8 Airbus'!AG53+'Price Table 8 RUAG'!AG53+'Price Table 8 Syderal'!AG53+'Price Table 8 APCO'!AG53+'Price Table 8 EPFL'!AG53+'Price Table 8 AIUB'!AG53</f>
        <v>#REF!</v>
      </c>
      <c r="AH53" s="124" t="e">
        <f t="shared" si="0"/>
        <v>#REF!</v>
      </c>
    </row>
    <row r="54" spans="1:38" s="16" customFormat="1">
      <c r="B54" s="45"/>
      <c r="C54" s="55"/>
      <c r="D54" s="56" t="s">
        <v>562</v>
      </c>
      <c r="E54" s="57"/>
      <c r="F54" s="57"/>
      <c r="G54" s="57"/>
      <c r="H54" s="63"/>
    </row>
    <row r="55" spans="1:38">
      <c r="B55" s="48" t="s">
        <v>608</v>
      </c>
      <c r="C55" s="52"/>
      <c r="D55" s="50"/>
      <c r="H55" s="17"/>
      <c r="AH55"/>
    </row>
    <row r="56" spans="1:38">
      <c r="A56" t="s">
        <v>331</v>
      </c>
      <c r="B56" s="51" t="s">
        <v>609</v>
      </c>
      <c r="C56" s="53"/>
      <c r="D56" s="44"/>
      <c r="E56" s="37" t="s">
        <v>14</v>
      </c>
      <c r="F56" s="36" t="s">
        <v>117</v>
      </c>
      <c r="G56" s="36" t="str">
        <f>CONCATENATE(E56,F56)</f>
        <v>MISSIONProcurement</v>
      </c>
      <c r="H56" s="16">
        <v>490540</v>
      </c>
      <c r="J56" s="123" t="e">
        <f>'Price Table 8 CS'!J56+'Price Table 8 OHB'!J56+'Price Table 8 Airbus'!J56+'Price Table 8 RUAG'!J56+'Price Table 8 Syderal'!J56+'Price Table 8 APCO'!J56+'Price Table 8 EPFL'!J56+'Price Table 8 AIUB'!J56</f>
        <v>#REF!</v>
      </c>
      <c r="K56" s="123" t="e">
        <f>'Price Table 8 CS'!K56+'Price Table 8 OHB'!K56+'Price Table 8 Airbus'!K56+'Price Table 8 RUAG'!K56+'Price Table 8 Syderal'!K56+'Price Table 8 APCO'!K56+'Price Table 8 EPFL'!K56+'Price Table 8 AIUB'!K56</f>
        <v>#REF!</v>
      </c>
      <c r="L56" s="123" t="e">
        <f>'Price Table 8 CS'!L56+'Price Table 8 OHB'!L56+'Price Table 8 Airbus'!L56+'Price Table 8 RUAG'!L56+'Price Table 8 Syderal'!L56+'Price Table 8 APCO'!L56+'Price Table 8 EPFL'!L56+'Price Table 8 AIUB'!L56</f>
        <v>#REF!</v>
      </c>
      <c r="M56" s="123" t="e">
        <f>'Price Table 8 CS'!M56+'Price Table 8 OHB'!M56+'Price Table 8 Airbus'!M56+'Price Table 8 RUAG'!M56+'Price Table 8 Syderal'!M56+'Price Table 8 APCO'!M56+'Price Table 8 EPFL'!M56+'Price Table 8 AIUB'!M56</f>
        <v>#REF!</v>
      </c>
      <c r="N56" s="123" t="e">
        <f>'Price Table 8 CS'!N56+'Price Table 8 OHB'!N56+'Price Table 8 Airbus'!N56+'Price Table 8 RUAG'!N56+'Price Table 8 Syderal'!N56+'Price Table 8 APCO'!N56+'Price Table 8 EPFL'!N56+'Price Table 8 AIUB'!N56</f>
        <v>#REF!</v>
      </c>
      <c r="O56" s="123" t="e">
        <f>'Price Table 8 CS'!O56+'Price Table 8 OHB'!O56+'Price Table 8 Airbus'!O56+'Price Table 8 RUAG'!O56+'Price Table 8 Syderal'!O56+'Price Table 8 APCO'!O56+'Price Table 8 EPFL'!O56+'Price Table 8 AIUB'!O56</f>
        <v>#REF!</v>
      </c>
      <c r="P56" s="123" t="e">
        <f>'Price Table 8 CS'!P56+'Price Table 8 OHB'!P56+'Price Table 8 Airbus'!P56+'Price Table 8 RUAG'!P56+'Price Table 8 Syderal'!P56+'Price Table 8 APCO'!P56+'Price Table 8 EPFL'!P56+'Price Table 8 AIUB'!P56</f>
        <v>#REF!</v>
      </c>
      <c r="Q56" s="123" t="e">
        <f>'Price Table 8 CS'!Q56+'Price Table 8 OHB'!Q56+'Price Table 8 Airbus'!Q56+'Price Table 8 RUAG'!Q56+'Price Table 8 Syderal'!Q56+'Price Table 8 APCO'!Q56+'Price Table 8 EPFL'!Q56+'Price Table 8 AIUB'!Q56</f>
        <v>#REF!</v>
      </c>
      <c r="R56" s="123" t="e">
        <f>'Price Table 8 CS'!R56+'Price Table 8 OHB'!R56+'Price Table 8 Airbus'!R56+'Price Table 8 RUAG'!R56+'Price Table 8 Syderal'!R56+'Price Table 8 APCO'!R56+'Price Table 8 EPFL'!R56+'Price Table 8 AIUB'!R56</f>
        <v>#REF!</v>
      </c>
      <c r="S56" s="123" t="e">
        <f>'Price Table 8 CS'!S56+'Price Table 8 OHB'!S56+'Price Table 8 Airbus'!S56+'Price Table 8 RUAG'!S56+'Price Table 8 Syderal'!S56+'Price Table 8 APCO'!S56+'Price Table 8 EPFL'!S56+'Price Table 8 AIUB'!S56</f>
        <v>#REF!</v>
      </c>
      <c r="T56" s="123" t="e">
        <f>'Price Table 8 CS'!T56+'Price Table 8 OHB'!T56+'Price Table 8 Airbus'!T56+'Price Table 8 RUAG'!T56+'Price Table 8 Syderal'!T56+'Price Table 8 APCO'!T56+'Price Table 8 EPFL'!T56+'Price Table 8 AIUB'!T56</f>
        <v>#REF!</v>
      </c>
      <c r="U56" s="123" t="e">
        <f>'Price Table 8 CS'!U56+'Price Table 8 OHB'!U56+'Price Table 8 Airbus'!U56+'Price Table 8 RUAG'!U56+'Price Table 8 Syderal'!U56+'Price Table 8 APCO'!U56+'Price Table 8 EPFL'!U56+'Price Table 8 AIUB'!U56</f>
        <v>#REF!</v>
      </c>
      <c r="V56" s="123" t="e">
        <f>'Price Table 8 CS'!V56+'Price Table 8 OHB'!V56+'Price Table 8 Airbus'!V56+'Price Table 8 RUAG'!V56+'Price Table 8 Syderal'!V56+'Price Table 8 APCO'!V56+'Price Table 8 EPFL'!V56+'Price Table 8 AIUB'!V56</f>
        <v>#REF!</v>
      </c>
      <c r="W56" s="123" t="e">
        <f>'Price Table 8 CS'!W56+'Price Table 8 OHB'!W56+'Price Table 8 Airbus'!W56+'Price Table 8 RUAG'!W56+'Price Table 8 Syderal'!W56+'Price Table 8 APCO'!W56+'Price Table 8 EPFL'!W56+'Price Table 8 AIUB'!W56</f>
        <v>#REF!</v>
      </c>
      <c r="X56" s="123" t="e">
        <f>'Price Table 8 CS'!X56+'Price Table 8 OHB'!X56+'Price Table 8 Airbus'!X56+'Price Table 8 RUAG'!X56+'Price Table 8 Syderal'!X56+'Price Table 8 APCO'!X56+'Price Table 8 EPFL'!X56+'Price Table 8 AIUB'!X56</f>
        <v>#REF!</v>
      </c>
      <c r="Y56" s="123" t="e">
        <f>'Price Table 8 CS'!Y56+'Price Table 8 OHB'!Y56+'Price Table 8 Airbus'!Y56+'Price Table 8 RUAG'!Y56+'Price Table 8 Syderal'!Y56+'Price Table 8 APCO'!Y56+'Price Table 8 EPFL'!Y56+'Price Table 8 AIUB'!Y56</f>
        <v>#REF!</v>
      </c>
      <c r="Z56" s="123" t="e">
        <f>'Price Table 8 CS'!Z56+'Price Table 8 OHB'!Z56+'Price Table 8 Airbus'!Z56+'Price Table 8 RUAG'!Z56+'Price Table 8 Syderal'!Z56+'Price Table 8 APCO'!Z56+'Price Table 8 EPFL'!Z56+'Price Table 8 AIUB'!Z56</f>
        <v>#REF!</v>
      </c>
      <c r="AA56" s="123" t="e">
        <f>'Price Table 8 CS'!AA56+'Price Table 8 OHB'!AA56+'Price Table 8 Airbus'!AA56+'Price Table 8 RUAG'!AA56+'Price Table 8 Syderal'!AA56+'Price Table 8 APCO'!AA56+'Price Table 8 EPFL'!AA56+'Price Table 8 AIUB'!AA56</f>
        <v>#REF!</v>
      </c>
      <c r="AB56" s="123" t="e">
        <f>'Price Table 8 CS'!AB56+'Price Table 8 OHB'!AB56+'Price Table 8 Airbus'!AB56+'Price Table 8 RUAG'!AB56+'Price Table 8 Syderal'!AB56+'Price Table 8 APCO'!AB56+'Price Table 8 EPFL'!AB56+'Price Table 8 AIUB'!AB56</f>
        <v>#REF!</v>
      </c>
      <c r="AC56" s="123" t="e">
        <f>'Price Table 8 CS'!AC56+'Price Table 8 OHB'!AC56+'Price Table 8 Airbus'!AC56+'Price Table 8 RUAG'!AC56+'Price Table 8 Syderal'!AC56+'Price Table 8 APCO'!AC56+'Price Table 8 EPFL'!AC56+'Price Table 8 AIUB'!AC56</f>
        <v>#REF!</v>
      </c>
      <c r="AD56" s="123" t="e">
        <f>'Price Table 8 CS'!AD56+'Price Table 8 OHB'!AD56+'Price Table 8 Airbus'!AD56+'Price Table 8 RUAG'!AD56+'Price Table 8 Syderal'!AD56+'Price Table 8 APCO'!AD56+'Price Table 8 EPFL'!AD56+'Price Table 8 AIUB'!AD56</f>
        <v>#REF!</v>
      </c>
      <c r="AE56" s="123" t="e">
        <f>'Price Table 8 CS'!AE56+'Price Table 8 OHB'!AE56+'Price Table 8 Airbus'!AE56+'Price Table 8 RUAG'!AE56+'Price Table 8 Syderal'!AE56+'Price Table 8 APCO'!AE56+'Price Table 8 EPFL'!AE56+'Price Table 8 AIUB'!AE56</f>
        <v>#REF!</v>
      </c>
      <c r="AF56" s="123" t="e">
        <f>'Price Table 8 CS'!AF56+'Price Table 8 OHB'!AF56+'Price Table 8 Airbus'!AF56+'Price Table 8 RUAG'!AF56+'Price Table 8 Syderal'!AF56+'Price Table 8 APCO'!AF56+'Price Table 8 EPFL'!AF56+'Price Table 8 AIUB'!AF56</f>
        <v>#REF!</v>
      </c>
      <c r="AG56" s="123" t="e">
        <f>'Price Table 8 CS'!AG56+'Price Table 8 OHB'!AG56+'Price Table 8 Airbus'!AG56+'Price Table 8 RUAG'!AG56+'Price Table 8 Syderal'!AG56+'Price Table 8 APCO'!AG56+'Price Table 8 EPFL'!AG56+'Price Table 8 AIUB'!AG56</f>
        <v>#REF!</v>
      </c>
      <c r="AH56" s="124" t="e">
        <f t="shared" si="0"/>
        <v>#REF!</v>
      </c>
    </row>
    <row r="57" spans="1:38" s="16" customFormat="1">
      <c r="B57" s="45"/>
      <c r="C57" s="55"/>
      <c r="D57" s="56" t="s">
        <v>562</v>
      </c>
      <c r="E57" s="57"/>
      <c r="F57" s="57"/>
      <c r="G57" s="57"/>
      <c r="H57" s="17"/>
    </row>
    <row r="58" spans="1:38">
      <c r="B58" s="46" t="s">
        <v>611</v>
      </c>
      <c r="C58" s="47"/>
      <c r="D58" s="41"/>
      <c r="H58"/>
      <c r="AH58"/>
    </row>
    <row r="59" spans="1:38">
      <c r="B59" s="48" t="s">
        <v>612</v>
      </c>
      <c r="C59" s="49"/>
      <c r="D59" s="50"/>
      <c r="H59"/>
      <c r="AH59"/>
    </row>
    <row r="60" spans="1:38">
      <c r="A60" t="s">
        <v>230</v>
      </c>
      <c r="B60" s="51" t="s">
        <v>613</v>
      </c>
      <c r="C60" s="54"/>
      <c r="D60" s="44"/>
      <c r="E60" s="36" t="s">
        <v>139</v>
      </c>
      <c r="F60" s="36" t="s">
        <v>13</v>
      </c>
      <c r="G60" s="36" t="str">
        <f>CONCATENATE(E60,F60)</f>
        <v>TECHManpower</v>
      </c>
      <c r="H60" t="s">
        <v>921</v>
      </c>
      <c r="J60" s="123" t="e">
        <f>'Price Table 8 CS'!J60+'Price Table 8 OHB'!J60+'Price Table 8 Airbus'!J60+'Price Table 8 RUAG'!J60+'Price Table 8 Syderal'!J60+'Price Table 8 APCO'!J60+'Price Table 8 EPFL'!J60+'Price Table 8 AIUB'!J60</f>
        <v>#REF!</v>
      </c>
      <c r="K60" s="123" t="e">
        <f>'Price Table 8 CS'!K60+'Price Table 8 OHB'!K60+'Price Table 8 Airbus'!K60+'Price Table 8 RUAG'!K60+'Price Table 8 Syderal'!K60+'Price Table 8 APCO'!K60+'Price Table 8 EPFL'!K60+'Price Table 8 AIUB'!K60</f>
        <v>#REF!</v>
      </c>
      <c r="L60" s="123" t="e">
        <f>'Price Table 8 CS'!L60+'Price Table 8 OHB'!L60+'Price Table 8 Airbus'!L60+'Price Table 8 RUAG'!L60+'Price Table 8 Syderal'!L60+'Price Table 8 APCO'!L60+'Price Table 8 EPFL'!L60+'Price Table 8 AIUB'!L60</f>
        <v>#REF!</v>
      </c>
      <c r="M60" s="123" t="e">
        <f>'Price Table 8 CS'!M60+'Price Table 8 OHB'!M60+'Price Table 8 Airbus'!M60+'Price Table 8 RUAG'!M60+'Price Table 8 Syderal'!M60+'Price Table 8 APCO'!M60+'Price Table 8 EPFL'!M60+'Price Table 8 AIUB'!M60</f>
        <v>#REF!</v>
      </c>
      <c r="N60" s="123" t="e">
        <f>'Price Table 8 CS'!N60+'Price Table 8 OHB'!N60+'Price Table 8 Airbus'!N60+'Price Table 8 RUAG'!N60+'Price Table 8 Syderal'!N60+'Price Table 8 APCO'!N60+'Price Table 8 EPFL'!N60+'Price Table 8 AIUB'!N60</f>
        <v>#REF!</v>
      </c>
      <c r="O60" s="123" t="e">
        <f>'Price Table 8 CS'!O60+'Price Table 8 OHB'!O60+'Price Table 8 Airbus'!O60+'Price Table 8 RUAG'!O60+'Price Table 8 Syderal'!O60+'Price Table 8 APCO'!O60+'Price Table 8 EPFL'!O60+'Price Table 8 AIUB'!O60</f>
        <v>#REF!</v>
      </c>
      <c r="P60" s="123" t="e">
        <f>'Price Table 8 CS'!P60+'Price Table 8 OHB'!P60+'Price Table 8 Airbus'!P60+'Price Table 8 RUAG'!P60+'Price Table 8 Syderal'!P60+'Price Table 8 APCO'!P60+'Price Table 8 EPFL'!P60+'Price Table 8 AIUB'!P60</f>
        <v>#REF!</v>
      </c>
      <c r="Q60" s="123" t="e">
        <f>'Price Table 8 CS'!Q60+'Price Table 8 OHB'!Q60+'Price Table 8 Airbus'!Q60+'Price Table 8 RUAG'!Q60+'Price Table 8 Syderal'!Q60+'Price Table 8 APCO'!Q60+'Price Table 8 EPFL'!Q60+'Price Table 8 AIUB'!Q60</f>
        <v>#REF!</v>
      </c>
      <c r="R60" s="123" t="e">
        <f>'Price Table 8 CS'!R60+'Price Table 8 OHB'!R60+'Price Table 8 Airbus'!R60+'Price Table 8 RUAG'!R60+'Price Table 8 Syderal'!R60+'Price Table 8 APCO'!R60+'Price Table 8 EPFL'!R60+'Price Table 8 AIUB'!R60</f>
        <v>#REF!</v>
      </c>
      <c r="S60" s="123" t="e">
        <f>'Price Table 8 CS'!S60+'Price Table 8 OHB'!S60+'Price Table 8 Airbus'!S60+'Price Table 8 RUAG'!S60+'Price Table 8 Syderal'!S60+'Price Table 8 APCO'!S60+'Price Table 8 EPFL'!S60+'Price Table 8 AIUB'!S60</f>
        <v>#REF!</v>
      </c>
      <c r="T60" s="123" t="e">
        <f>'Price Table 8 CS'!T60+'Price Table 8 OHB'!T60+'Price Table 8 Airbus'!T60+'Price Table 8 RUAG'!T60+'Price Table 8 Syderal'!T60+'Price Table 8 APCO'!T60+'Price Table 8 EPFL'!T60+'Price Table 8 AIUB'!T60</f>
        <v>#REF!</v>
      </c>
      <c r="U60" s="123" t="e">
        <f>'Price Table 8 CS'!U60+'Price Table 8 OHB'!U60+'Price Table 8 Airbus'!U60+'Price Table 8 RUAG'!U60+'Price Table 8 Syderal'!U60+'Price Table 8 APCO'!U60+'Price Table 8 EPFL'!U60+'Price Table 8 AIUB'!U60</f>
        <v>#REF!</v>
      </c>
      <c r="V60" s="123" t="e">
        <f>'Price Table 8 CS'!V60+'Price Table 8 OHB'!V60+'Price Table 8 Airbus'!V60+'Price Table 8 RUAG'!V60+'Price Table 8 Syderal'!V60+'Price Table 8 APCO'!V60+'Price Table 8 EPFL'!V60+'Price Table 8 AIUB'!V60</f>
        <v>#REF!</v>
      </c>
      <c r="W60" s="123" t="e">
        <f>'Price Table 8 CS'!W60+'Price Table 8 OHB'!W60+'Price Table 8 Airbus'!W60+'Price Table 8 RUAG'!W60+'Price Table 8 Syderal'!W60+'Price Table 8 APCO'!W60+'Price Table 8 EPFL'!W60+'Price Table 8 AIUB'!W60</f>
        <v>#REF!</v>
      </c>
      <c r="X60" s="123" t="e">
        <f>'Price Table 8 CS'!X60+'Price Table 8 OHB'!X60+'Price Table 8 Airbus'!X60+'Price Table 8 RUAG'!X60+'Price Table 8 Syderal'!X60+'Price Table 8 APCO'!X60+'Price Table 8 EPFL'!X60+'Price Table 8 AIUB'!X60</f>
        <v>#REF!</v>
      </c>
      <c r="Y60" s="123" t="e">
        <f>'Price Table 8 CS'!Y60+'Price Table 8 OHB'!Y60+'Price Table 8 Airbus'!Y60+'Price Table 8 RUAG'!Y60+'Price Table 8 Syderal'!Y60+'Price Table 8 APCO'!Y60+'Price Table 8 EPFL'!Y60+'Price Table 8 AIUB'!Y60</f>
        <v>#REF!</v>
      </c>
      <c r="Z60" s="123" t="e">
        <f>'Price Table 8 CS'!Z60+'Price Table 8 OHB'!Z60+'Price Table 8 Airbus'!Z60+'Price Table 8 RUAG'!Z60+'Price Table 8 Syderal'!Z60+'Price Table 8 APCO'!Z60+'Price Table 8 EPFL'!Z60+'Price Table 8 AIUB'!Z60</f>
        <v>#REF!</v>
      </c>
      <c r="AA60" s="123" t="e">
        <f>'Price Table 8 CS'!AA60+'Price Table 8 OHB'!AA60+'Price Table 8 Airbus'!AA60+'Price Table 8 RUAG'!AA60+'Price Table 8 Syderal'!AA60+'Price Table 8 APCO'!AA60+'Price Table 8 EPFL'!AA60+'Price Table 8 AIUB'!AA60</f>
        <v>#REF!</v>
      </c>
      <c r="AB60" s="123" t="e">
        <f>'Price Table 8 CS'!AB60+'Price Table 8 OHB'!AB60+'Price Table 8 Airbus'!AB60+'Price Table 8 RUAG'!AB60+'Price Table 8 Syderal'!AB60+'Price Table 8 APCO'!AB60+'Price Table 8 EPFL'!AB60+'Price Table 8 AIUB'!AB60</f>
        <v>#REF!</v>
      </c>
      <c r="AC60" s="123" t="e">
        <f>'Price Table 8 CS'!AC60+'Price Table 8 OHB'!AC60+'Price Table 8 Airbus'!AC60+'Price Table 8 RUAG'!AC60+'Price Table 8 Syderal'!AC60+'Price Table 8 APCO'!AC60+'Price Table 8 EPFL'!AC60+'Price Table 8 AIUB'!AC60</f>
        <v>#REF!</v>
      </c>
      <c r="AD60" s="123" t="e">
        <f>'Price Table 8 CS'!AD60+'Price Table 8 OHB'!AD60+'Price Table 8 Airbus'!AD60+'Price Table 8 RUAG'!AD60+'Price Table 8 Syderal'!AD60+'Price Table 8 APCO'!AD60+'Price Table 8 EPFL'!AD60+'Price Table 8 AIUB'!AD60</f>
        <v>#REF!</v>
      </c>
      <c r="AE60" s="123" t="e">
        <f>'Price Table 8 CS'!AE60+'Price Table 8 OHB'!AE60+'Price Table 8 Airbus'!AE60+'Price Table 8 RUAG'!AE60+'Price Table 8 Syderal'!AE60+'Price Table 8 APCO'!AE60+'Price Table 8 EPFL'!AE60+'Price Table 8 AIUB'!AE60</f>
        <v>#REF!</v>
      </c>
      <c r="AF60" s="123" t="e">
        <f>'Price Table 8 CS'!AF60+'Price Table 8 OHB'!AF60+'Price Table 8 Airbus'!AF60+'Price Table 8 RUAG'!AF60+'Price Table 8 Syderal'!AF60+'Price Table 8 APCO'!AF60+'Price Table 8 EPFL'!AF60+'Price Table 8 AIUB'!AF60</f>
        <v>#REF!</v>
      </c>
      <c r="AG60" s="123" t="e">
        <f>'Price Table 8 CS'!AG60+'Price Table 8 OHB'!AG60+'Price Table 8 Airbus'!AG60+'Price Table 8 RUAG'!AG60+'Price Table 8 Syderal'!AG60+'Price Table 8 APCO'!AG60+'Price Table 8 EPFL'!AG60+'Price Table 8 AIUB'!AG60</f>
        <v>#REF!</v>
      </c>
      <c r="AH60" s="124" t="e">
        <f t="shared" si="0"/>
        <v>#REF!</v>
      </c>
    </row>
    <row r="61" spans="1:38">
      <c r="A61" t="s">
        <v>138</v>
      </c>
      <c r="B61" s="51" t="s">
        <v>615</v>
      </c>
      <c r="C61" s="54"/>
      <c r="D61" s="44"/>
      <c r="E61" s="36" t="s">
        <v>139</v>
      </c>
      <c r="F61" s="36" t="s">
        <v>117</v>
      </c>
      <c r="G61" s="36" t="str">
        <f>CONCATENATE(E61,F61)</f>
        <v>TECHProcurement</v>
      </c>
      <c r="H61" t="s">
        <v>616</v>
      </c>
      <c r="I61" s="65" t="s">
        <v>610</v>
      </c>
      <c r="J61" s="123" t="e">
        <f>'Price Table 8 CS'!J61+'Price Table 8 OHB'!J61+'Price Table 8 Airbus'!J61+'Price Table 8 RUAG'!J61+'Price Table 8 Syderal'!J61+'Price Table 8 APCO'!J61+'Price Table 8 EPFL'!J61+'Price Table 8 AIUB'!J61</f>
        <v>#REF!</v>
      </c>
      <c r="K61" s="123" t="e">
        <f>'Price Table 8 CS'!K61+'Price Table 8 OHB'!K61+'Price Table 8 Airbus'!K61+'Price Table 8 RUAG'!K61+'Price Table 8 Syderal'!K61+'Price Table 8 APCO'!K61+'Price Table 8 EPFL'!K61+'Price Table 8 AIUB'!K61</f>
        <v>#REF!</v>
      </c>
      <c r="L61" s="123" t="e">
        <f>'Price Table 8 CS'!L61+'Price Table 8 OHB'!L61+'Price Table 8 Airbus'!L61+'Price Table 8 RUAG'!L61+'Price Table 8 Syderal'!L61+'Price Table 8 APCO'!L61+'Price Table 8 EPFL'!L61+'Price Table 8 AIUB'!L61</f>
        <v>#REF!</v>
      </c>
      <c r="M61" s="123" t="e">
        <f>'Price Table 8 CS'!M61+'Price Table 8 OHB'!M61+'Price Table 8 Airbus'!M61+'Price Table 8 RUAG'!M61+'Price Table 8 Syderal'!M61+'Price Table 8 APCO'!M61+'Price Table 8 EPFL'!M61+'Price Table 8 AIUB'!M61</f>
        <v>#REF!</v>
      </c>
      <c r="N61" s="123" t="e">
        <f>'Price Table 8 CS'!N61+'Price Table 8 OHB'!N61+'Price Table 8 Airbus'!N61+'Price Table 8 RUAG'!N61+'Price Table 8 Syderal'!N61+'Price Table 8 APCO'!N61+'Price Table 8 EPFL'!N61+'Price Table 8 AIUB'!N61</f>
        <v>#REF!</v>
      </c>
      <c r="O61" s="123" t="e">
        <f>'Price Table 8 CS'!O61+'Price Table 8 OHB'!O61+'Price Table 8 Airbus'!O61+'Price Table 8 RUAG'!O61+'Price Table 8 Syderal'!O61+'Price Table 8 APCO'!O61+'Price Table 8 EPFL'!O61+'Price Table 8 AIUB'!O61</f>
        <v>#REF!</v>
      </c>
      <c r="P61" s="123" t="e">
        <f>'Price Table 8 CS'!P61+'Price Table 8 OHB'!P61+'Price Table 8 Airbus'!P61+'Price Table 8 RUAG'!P61+'Price Table 8 Syderal'!P61+'Price Table 8 APCO'!P61+'Price Table 8 EPFL'!P61+'Price Table 8 AIUB'!P61</f>
        <v>#REF!</v>
      </c>
      <c r="Q61" s="123" t="e">
        <f>'Price Table 8 CS'!Q61+'Price Table 8 OHB'!Q61+'Price Table 8 Airbus'!Q61+'Price Table 8 RUAG'!Q61+'Price Table 8 Syderal'!Q61+'Price Table 8 APCO'!Q61+'Price Table 8 EPFL'!Q61+'Price Table 8 AIUB'!Q61</f>
        <v>#REF!</v>
      </c>
      <c r="R61" s="123" t="e">
        <f>'Price Table 8 CS'!R61+'Price Table 8 OHB'!R61+'Price Table 8 Airbus'!R61+'Price Table 8 RUAG'!R61+'Price Table 8 Syderal'!R61+'Price Table 8 APCO'!R61+'Price Table 8 EPFL'!R61+'Price Table 8 AIUB'!R61</f>
        <v>#REF!</v>
      </c>
      <c r="S61" s="123" t="e">
        <f>'Price Table 8 CS'!S61+'Price Table 8 OHB'!S61+'Price Table 8 Airbus'!S61+'Price Table 8 RUAG'!S61+'Price Table 8 Syderal'!S61+'Price Table 8 APCO'!S61+'Price Table 8 EPFL'!S61+'Price Table 8 AIUB'!S61</f>
        <v>#REF!</v>
      </c>
      <c r="T61" s="123" t="e">
        <f>'Price Table 8 CS'!T61+'Price Table 8 OHB'!T61+'Price Table 8 Airbus'!T61+'Price Table 8 RUAG'!T61+'Price Table 8 Syderal'!T61+'Price Table 8 APCO'!T61+'Price Table 8 EPFL'!T61+'Price Table 8 AIUB'!T61</f>
        <v>#REF!</v>
      </c>
      <c r="U61" s="123" t="e">
        <f>'Price Table 8 CS'!U61+'Price Table 8 OHB'!U61+'Price Table 8 Airbus'!U61+'Price Table 8 RUAG'!U61+'Price Table 8 Syderal'!U61+'Price Table 8 APCO'!U61+'Price Table 8 EPFL'!U61+'Price Table 8 AIUB'!U61</f>
        <v>#REF!</v>
      </c>
      <c r="V61" s="123" t="e">
        <f>'Price Table 8 CS'!V61+'Price Table 8 OHB'!V61+'Price Table 8 Airbus'!V61+'Price Table 8 RUAG'!V61+'Price Table 8 Syderal'!V61+'Price Table 8 APCO'!V61+'Price Table 8 EPFL'!V61+'Price Table 8 AIUB'!V61</f>
        <v>#REF!</v>
      </c>
      <c r="W61" s="123" t="e">
        <f>'Price Table 8 CS'!W61+'Price Table 8 OHB'!W61+'Price Table 8 Airbus'!W61+'Price Table 8 RUAG'!W61+'Price Table 8 Syderal'!W61+'Price Table 8 APCO'!W61+'Price Table 8 EPFL'!W61+'Price Table 8 AIUB'!W61</f>
        <v>#REF!</v>
      </c>
      <c r="X61" s="123" t="e">
        <f>'Price Table 8 CS'!X61+'Price Table 8 OHB'!X61+'Price Table 8 Airbus'!X61+'Price Table 8 RUAG'!X61+'Price Table 8 Syderal'!X61+'Price Table 8 APCO'!X61+'Price Table 8 EPFL'!X61+'Price Table 8 AIUB'!X61</f>
        <v>#REF!</v>
      </c>
      <c r="Y61" s="123" t="e">
        <f>'Price Table 8 CS'!Y61+'Price Table 8 OHB'!Y61+'Price Table 8 Airbus'!Y61+'Price Table 8 RUAG'!Y61+'Price Table 8 Syderal'!Y61+'Price Table 8 APCO'!Y61+'Price Table 8 EPFL'!Y61+'Price Table 8 AIUB'!Y61</f>
        <v>#REF!</v>
      </c>
      <c r="Z61" s="123" t="e">
        <f>'Price Table 8 CS'!Z61+'Price Table 8 OHB'!Z61+'Price Table 8 Airbus'!Z61+'Price Table 8 RUAG'!Z61+'Price Table 8 Syderal'!Z61+'Price Table 8 APCO'!Z61+'Price Table 8 EPFL'!Z61+'Price Table 8 AIUB'!Z61</f>
        <v>#REF!</v>
      </c>
      <c r="AA61" s="123" t="e">
        <f>'Price Table 8 CS'!AA61+'Price Table 8 OHB'!AA61+'Price Table 8 Airbus'!AA61+'Price Table 8 RUAG'!AA61+'Price Table 8 Syderal'!AA61+'Price Table 8 APCO'!AA61+'Price Table 8 EPFL'!AA61+'Price Table 8 AIUB'!AA61</f>
        <v>#REF!</v>
      </c>
      <c r="AB61" s="123" t="e">
        <f>'Price Table 8 CS'!AB61+'Price Table 8 OHB'!AB61+'Price Table 8 Airbus'!AB61+'Price Table 8 RUAG'!AB61+'Price Table 8 Syderal'!AB61+'Price Table 8 APCO'!AB61+'Price Table 8 EPFL'!AB61+'Price Table 8 AIUB'!AB61</f>
        <v>#REF!</v>
      </c>
      <c r="AC61" s="123" t="e">
        <f>'Price Table 8 CS'!AC61+'Price Table 8 OHB'!AC61+'Price Table 8 Airbus'!AC61+'Price Table 8 RUAG'!AC61+'Price Table 8 Syderal'!AC61+'Price Table 8 APCO'!AC61+'Price Table 8 EPFL'!AC61+'Price Table 8 AIUB'!AC61</f>
        <v>#REF!</v>
      </c>
      <c r="AD61" s="123" t="e">
        <f>'Price Table 8 CS'!AD61+'Price Table 8 OHB'!AD61+'Price Table 8 Airbus'!AD61+'Price Table 8 RUAG'!AD61+'Price Table 8 Syderal'!AD61+'Price Table 8 APCO'!AD61+'Price Table 8 EPFL'!AD61+'Price Table 8 AIUB'!AD61</f>
        <v>#REF!</v>
      </c>
      <c r="AE61" s="123" t="e">
        <f>'Price Table 8 CS'!AE61+'Price Table 8 OHB'!AE61+'Price Table 8 Airbus'!AE61+'Price Table 8 RUAG'!AE61+'Price Table 8 Syderal'!AE61+'Price Table 8 APCO'!AE61+'Price Table 8 EPFL'!AE61+'Price Table 8 AIUB'!AE61</f>
        <v>#REF!</v>
      </c>
      <c r="AF61" s="123" t="e">
        <f>'Price Table 8 CS'!AF61+'Price Table 8 OHB'!AF61+'Price Table 8 Airbus'!AF61+'Price Table 8 RUAG'!AF61+'Price Table 8 Syderal'!AF61+'Price Table 8 APCO'!AF61+'Price Table 8 EPFL'!AF61+'Price Table 8 AIUB'!AF61</f>
        <v>#REF!</v>
      </c>
      <c r="AG61" s="123" t="e">
        <f>'Price Table 8 CS'!AG61+'Price Table 8 OHB'!AG61+'Price Table 8 Airbus'!AG61+'Price Table 8 RUAG'!AG61+'Price Table 8 Syderal'!AG61+'Price Table 8 APCO'!AG61+'Price Table 8 EPFL'!AG61+'Price Table 8 AIUB'!AG61</f>
        <v>#REF!</v>
      </c>
      <c r="AH61" s="124" t="e">
        <f t="shared" si="0"/>
        <v>#REF!</v>
      </c>
    </row>
    <row r="62" spans="1:38" s="16" customFormat="1">
      <c r="B62" s="45"/>
      <c r="C62" s="55"/>
      <c r="D62" s="56" t="s">
        <v>562</v>
      </c>
      <c r="E62" s="57"/>
      <c r="F62" s="57"/>
      <c r="G62" s="57"/>
      <c r="H62" s="17"/>
    </row>
    <row r="63" spans="1:38">
      <c r="B63" s="48" t="s">
        <v>617</v>
      </c>
      <c r="C63" s="49"/>
      <c r="D63" s="50"/>
      <c r="H63"/>
      <c r="AH63"/>
    </row>
    <row r="64" spans="1:38">
      <c r="A64" t="s">
        <v>293</v>
      </c>
      <c r="B64" s="51" t="s">
        <v>618</v>
      </c>
      <c r="C64" s="54"/>
      <c r="D64" s="44"/>
      <c r="E64" s="37" t="s">
        <v>139</v>
      </c>
      <c r="F64" s="36" t="s">
        <v>13</v>
      </c>
      <c r="G64" s="36" t="str">
        <f>CONCATENATE(E64,F64)</f>
        <v>TECHManpower</v>
      </c>
      <c r="H64" s="61">
        <v>480000</v>
      </c>
      <c r="I64" t="s">
        <v>922</v>
      </c>
      <c r="J64" s="123" t="e">
        <f>'Price Table 8 CS'!J64+'Price Table 8 OHB'!J64+'Price Table 8 Airbus'!J64+'Price Table 8 RUAG'!J64+'Price Table 8 Syderal'!J64+'Price Table 8 APCO'!J64+'Price Table 8 EPFL'!J64+'Price Table 8 AIUB'!J64</f>
        <v>#REF!</v>
      </c>
      <c r="K64" s="123" t="e">
        <f>'Price Table 8 CS'!K64+'Price Table 8 OHB'!K64+'Price Table 8 Airbus'!K64+'Price Table 8 RUAG'!K64+'Price Table 8 Syderal'!K64+'Price Table 8 APCO'!K64+'Price Table 8 EPFL'!K64+'Price Table 8 AIUB'!K64</f>
        <v>#REF!</v>
      </c>
      <c r="L64" s="123" t="e">
        <f>'Price Table 8 CS'!L64+'Price Table 8 OHB'!L64+'Price Table 8 Airbus'!L64+'Price Table 8 RUAG'!L64+'Price Table 8 Syderal'!L64+'Price Table 8 APCO'!L64+'Price Table 8 EPFL'!L64+'Price Table 8 AIUB'!L64</f>
        <v>#REF!</v>
      </c>
      <c r="M64" s="123" t="e">
        <f>'Price Table 8 CS'!M64+'Price Table 8 OHB'!M64+'Price Table 8 Airbus'!M64+'Price Table 8 RUAG'!M64+'Price Table 8 Syderal'!M64+'Price Table 8 APCO'!M64+'Price Table 8 EPFL'!M64+'Price Table 8 AIUB'!M64</f>
        <v>#REF!</v>
      </c>
      <c r="N64" s="123" t="e">
        <f>'Price Table 8 CS'!N64+'Price Table 8 OHB'!N64+'Price Table 8 Airbus'!N64+'Price Table 8 RUAG'!N64+'Price Table 8 Syderal'!N64+'Price Table 8 APCO'!N64+'Price Table 8 EPFL'!N64+'Price Table 8 AIUB'!N64</f>
        <v>#REF!</v>
      </c>
      <c r="O64" s="123" t="e">
        <f>'Price Table 8 CS'!O64+'Price Table 8 OHB'!O64+'Price Table 8 Airbus'!O64+'Price Table 8 RUAG'!O64+'Price Table 8 Syderal'!O64+'Price Table 8 APCO'!O64+'Price Table 8 EPFL'!O64+'Price Table 8 AIUB'!O64</f>
        <v>#REF!</v>
      </c>
      <c r="P64" s="123" t="e">
        <f>'Price Table 8 CS'!P64+'Price Table 8 OHB'!P64+'Price Table 8 Airbus'!P64+'Price Table 8 RUAG'!P64+'Price Table 8 Syderal'!P64+'Price Table 8 APCO'!P64+'Price Table 8 EPFL'!P64+'Price Table 8 AIUB'!P64</f>
        <v>#REF!</v>
      </c>
      <c r="Q64" s="123" t="e">
        <f>'Price Table 8 CS'!Q64+'Price Table 8 OHB'!Q64+'Price Table 8 Airbus'!Q64+'Price Table 8 RUAG'!Q64+'Price Table 8 Syderal'!Q64+'Price Table 8 APCO'!Q64+'Price Table 8 EPFL'!Q64+'Price Table 8 AIUB'!Q64</f>
        <v>#REF!</v>
      </c>
      <c r="R64" s="123" t="e">
        <f>'Price Table 8 CS'!R64+'Price Table 8 OHB'!R64+'Price Table 8 Airbus'!R64+'Price Table 8 RUAG'!R64+'Price Table 8 Syderal'!R64+'Price Table 8 APCO'!R64+'Price Table 8 EPFL'!R64+'Price Table 8 AIUB'!R64</f>
        <v>#REF!</v>
      </c>
      <c r="S64" s="123" t="e">
        <f>'Price Table 8 CS'!S64+'Price Table 8 OHB'!S64+'Price Table 8 Airbus'!S64+'Price Table 8 RUAG'!S64+'Price Table 8 Syderal'!S64+'Price Table 8 APCO'!S64+'Price Table 8 EPFL'!S64+'Price Table 8 AIUB'!S64</f>
        <v>#REF!</v>
      </c>
      <c r="T64" s="123" t="e">
        <f>'Price Table 8 CS'!T64+'Price Table 8 OHB'!T64+'Price Table 8 Airbus'!T64+'Price Table 8 RUAG'!T64+'Price Table 8 Syderal'!T64+'Price Table 8 APCO'!T64+'Price Table 8 EPFL'!T64+'Price Table 8 AIUB'!T64</f>
        <v>#REF!</v>
      </c>
      <c r="U64" s="123" t="e">
        <f>'Price Table 8 CS'!U64+'Price Table 8 OHB'!U64+'Price Table 8 Airbus'!U64+'Price Table 8 RUAG'!U64+'Price Table 8 Syderal'!U64+'Price Table 8 APCO'!U64+'Price Table 8 EPFL'!U64+'Price Table 8 AIUB'!U64</f>
        <v>#REF!</v>
      </c>
      <c r="V64" s="123" t="e">
        <f>'Price Table 8 CS'!V64+'Price Table 8 OHB'!V64+'Price Table 8 Airbus'!V64+'Price Table 8 RUAG'!V64+'Price Table 8 Syderal'!V64+'Price Table 8 APCO'!V64+'Price Table 8 EPFL'!V64+'Price Table 8 AIUB'!V64</f>
        <v>#REF!</v>
      </c>
      <c r="W64" s="123" t="e">
        <f>'Price Table 8 CS'!W64+'Price Table 8 OHB'!W64+'Price Table 8 Airbus'!W64+'Price Table 8 RUAG'!W64+'Price Table 8 Syderal'!W64+'Price Table 8 APCO'!W64+'Price Table 8 EPFL'!W64+'Price Table 8 AIUB'!W64</f>
        <v>#REF!</v>
      </c>
      <c r="X64" s="123" t="e">
        <f>'Price Table 8 CS'!X64+'Price Table 8 OHB'!X64+'Price Table 8 Airbus'!X64+'Price Table 8 RUAG'!X64+'Price Table 8 Syderal'!X64+'Price Table 8 APCO'!X64+'Price Table 8 EPFL'!X64+'Price Table 8 AIUB'!X64</f>
        <v>#REF!</v>
      </c>
      <c r="Y64" s="123" t="e">
        <f>'Price Table 8 CS'!Y64+'Price Table 8 OHB'!Y64+'Price Table 8 Airbus'!Y64+'Price Table 8 RUAG'!Y64+'Price Table 8 Syderal'!Y64+'Price Table 8 APCO'!Y64+'Price Table 8 EPFL'!Y64+'Price Table 8 AIUB'!Y64</f>
        <v>#REF!</v>
      </c>
      <c r="Z64" s="123" t="e">
        <f>'Price Table 8 CS'!Z64+'Price Table 8 OHB'!Z64+'Price Table 8 Airbus'!Z64+'Price Table 8 RUAG'!Z64+'Price Table 8 Syderal'!Z64+'Price Table 8 APCO'!Z64+'Price Table 8 EPFL'!Z64+'Price Table 8 AIUB'!Z64</f>
        <v>#REF!</v>
      </c>
      <c r="AA64" s="123" t="e">
        <f>'Price Table 8 CS'!AA64+'Price Table 8 OHB'!AA64+'Price Table 8 Airbus'!AA64+'Price Table 8 RUAG'!AA64+'Price Table 8 Syderal'!AA64+'Price Table 8 APCO'!AA64+'Price Table 8 EPFL'!AA64+'Price Table 8 AIUB'!AA64</f>
        <v>#REF!</v>
      </c>
      <c r="AB64" s="123" t="e">
        <f>'Price Table 8 CS'!AB64+'Price Table 8 OHB'!AB64+'Price Table 8 Airbus'!AB64+'Price Table 8 RUAG'!AB64+'Price Table 8 Syderal'!AB64+'Price Table 8 APCO'!AB64+'Price Table 8 EPFL'!AB64+'Price Table 8 AIUB'!AB64</f>
        <v>#REF!</v>
      </c>
      <c r="AC64" s="123" t="e">
        <f>'Price Table 8 CS'!AC64+'Price Table 8 OHB'!AC64+'Price Table 8 Airbus'!AC64+'Price Table 8 RUAG'!AC64+'Price Table 8 Syderal'!AC64+'Price Table 8 APCO'!AC64+'Price Table 8 EPFL'!AC64+'Price Table 8 AIUB'!AC64</f>
        <v>#REF!</v>
      </c>
      <c r="AD64" s="123" t="e">
        <f>'Price Table 8 CS'!AD64+'Price Table 8 OHB'!AD64+'Price Table 8 Airbus'!AD64+'Price Table 8 RUAG'!AD64+'Price Table 8 Syderal'!AD64+'Price Table 8 APCO'!AD64+'Price Table 8 EPFL'!AD64+'Price Table 8 AIUB'!AD64</f>
        <v>#REF!</v>
      </c>
      <c r="AE64" s="123" t="e">
        <f>'Price Table 8 CS'!AE64+'Price Table 8 OHB'!AE64+'Price Table 8 Airbus'!AE64+'Price Table 8 RUAG'!AE64+'Price Table 8 Syderal'!AE64+'Price Table 8 APCO'!AE64+'Price Table 8 EPFL'!AE64+'Price Table 8 AIUB'!AE64</f>
        <v>#REF!</v>
      </c>
      <c r="AF64" s="123" t="e">
        <f>'Price Table 8 CS'!AF64+'Price Table 8 OHB'!AF64+'Price Table 8 Airbus'!AF64+'Price Table 8 RUAG'!AF64+'Price Table 8 Syderal'!AF64+'Price Table 8 APCO'!AF64+'Price Table 8 EPFL'!AF64+'Price Table 8 AIUB'!AF64</f>
        <v>#REF!</v>
      </c>
      <c r="AG64" s="123" t="e">
        <f>'Price Table 8 CS'!AG64+'Price Table 8 OHB'!AG64+'Price Table 8 Airbus'!AG64+'Price Table 8 RUAG'!AG64+'Price Table 8 Syderal'!AG64+'Price Table 8 APCO'!AG64+'Price Table 8 EPFL'!AG64+'Price Table 8 AIUB'!AG64</f>
        <v>#REF!</v>
      </c>
      <c r="AH64" s="124" t="e">
        <f t="shared" si="0"/>
        <v>#REF!</v>
      </c>
    </row>
    <row r="65" spans="1:37">
      <c r="A65" t="s">
        <v>620</v>
      </c>
      <c r="B65" s="51" t="s">
        <v>621</v>
      </c>
      <c r="C65" s="54"/>
      <c r="D65" s="44"/>
      <c r="E65" s="36" t="s">
        <v>139</v>
      </c>
      <c r="F65" s="36" t="s">
        <v>117</v>
      </c>
      <c r="G65" s="36" t="str">
        <f>CONCATENATE(E65,F65)</f>
        <v>TECHProcurement</v>
      </c>
      <c r="H65" s="61">
        <v>480000</v>
      </c>
      <c r="J65" s="120" t="e">
        <f>'Price Table 8 CS'!J65+'Price Table 8 OHB'!J65+'Price Table 8 Airbus'!J65+'Price Table 8 RUAG'!J65+'Price Table 8 Syderal'!J65+'Price Table 8 APCO'!J65+'Price Table 8 EPFL'!J65+'Price Table 8 AIUB'!J65</f>
        <v>#REF!</v>
      </c>
      <c r="K65" s="120" t="e">
        <f>'Price Table 8 CS'!K65+'Price Table 8 OHB'!K65+'Price Table 8 Airbus'!K65+'Price Table 8 RUAG'!K65+'Price Table 8 Syderal'!K65+'Price Table 8 APCO'!K65+'Price Table 8 EPFL'!K65+'Price Table 8 AIUB'!K65</f>
        <v>#REF!</v>
      </c>
      <c r="L65" s="120" t="e">
        <f>'Price Table 8 CS'!L65+'Price Table 8 OHB'!L65+'Price Table 8 Airbus'!L65+'Price Table 8 RUAG'!L65+'Price Table 8 Syderal'!L65+'Price Table 8 APCO'!L65+'Price Table 8 EPFL'!L65+'Price Table 8 AIUB'!L65</f>
        <v>#REF!</v>
      </c>
      <c r="M65" s="120" t="e">
        <f>'Price Table 8 CS'!M65+'Price Table 8 OHB'!M65+'Price Table 8 Airbus'!M65+'Price Table 8 RUAG'!M65+'Price Table 8 Syderal'!M65+'Price Table 8 APCO'!M65+'Price Table 8 EPFL'!M65+'Price Table 8 AIUB'!M65</f>
        <v>#REF!</v>
      </c>
      <c r="N65" s="120" t="e">
        <f>'Price Table 8 CS'!N65+'Price Table 8 OHB'!N65+'Price Table 8 Airbus'!N65+'Price Table 8 RUAG'!N65+'Price Table 8 Syderal'!N65+'Price Table 8 APCO'!N65+'Price Table 8 EPFL'!N65+'Price Table 8 AIUB'!N65</f>
        <v>#REF!</v>
      </c>
      <c r="O65" s="120" t="e">
        <f>'Price Table 8 CS'!O65+'Price Table 8 OHB'!O65+'Price Table 8 Airbus'!O65+'Price Table 8 RUAG'!O65+'Price Table 8 Syderal'!O65+'Price Table 8 APCO'!O65+'Price Table 8 EPFL'!O65+'Price Table 8 AIUB'!O65</f>
        <v>#REF!</v>
      </c>
      <c r="P65" s="123" t="e">
        <f>'Price Table 8 CS'!P65+'Price Table 8 OHB'!P65+'Price Table 8 Airbus'!P65+'Price Table 8 RUAG'!P65+'Price Table 8 Syderal'!P65+'Price Table 8 APCO'!P65+'Price Table 8 EPFL'!P65+'Price Table 8 AIUB'!P65</f>
        <v>#REF!</v>
      </c>
      <c r="Q65" s="123" t="e">
        <f>'Price Table 8 CS'!Q65+'Price Table 8 OHB'!Q65+'Price Table 8 Airbus'!Q65+'Price Table 8 RUAG'!Q65+'Price Table 8 Syderal'!Q65+'Price Table 8 APCO'!Q65+'Price Table 8 EPFL'!Q65+'Price Table 8 AIUB'!Q65</f>
        <v>#REF!</v>
      </c>
      <c r="R65" s="123" t="e">
        <f>'Price Table 8 CS'!R65+'Price Table 8 OHB'!R65+'Price Table 8 Airbus'!R65+'Price Table 8 RUAG'!R65+'Price Table 8 Syderal'!R65+'Price Table 8 APCO'!R65+'Price Table 8 EPFL'!R65+'Price Table 8 AIUB'!R65</f>
        <v>#REF!</v>
      </c>
      <c r="S65" s="123" t="e">
        <f>'Price Table 8 CS'!S65+'Price Table 8 OHB'!S65+'Price Table 8 Airbus'!S65+'Price Table 8 RUAG'!S65+'Price Table 8 Syderal'!S65+'Price Table 8 APCO'!S65+'Price Table 8 EPFL'!S65+'Price Table 8 AIUB'!S65</f>
        <v>#REF!</v>
      </c>
      <c r="T65" s="123" t="e">
        <f>'Price Table 8 CS'!T65+'Price Table 8 OHB'!T65+'Price Table 8 Airbus'!T65+'Price Table 8 RUAG'!T65+'Price Table 8 Syderal'!T65+'Price Table 8 APCO'!T65+'Price Table 8 EPFL'!T65+'Price Table 8 AIUB'!T65</f>
        <v>#REF!</v>
      </c>
      <c r="U65" s="123" t="e">
        <f>'Price Table 8 CS'!U65+'Price Table 8 OHB'!U65+'Price Table 8 Airbus'!U65+'Price Table 8 RUAG'!U65+'Price Table 8 Syderal'!U65+'Price Table 8 APCO'!U65+'Price Table 8 EPFL'!U65+'Price Table 8 AIUB'!U65</f>
        <v>#REF!</v>
      </c>
      <c r="V65" s="123" t="e">
        <f>'Price Table 8 CS'!V65+'Price Table 8 OHB'!V65+'Price Table 8 Airbus'!V65+'Price Table 8 RUAG'!V65+'Price Table 8 Syderal'!V65+'Price Table 8 APCO'!V65+'Price Table 8 EPFL'!V65+'Price Table 8 AIUB'!V65</f>
        <v>#REF!</v>
      </c>
      <c r="W65" s="123" t="e">
        <f>'Price Table 8 CS'!W65+'Price Table 8 OHB'!W65+'Price Table 8 Airbus'!W65+'Price Table 8 RUAG'!W65+'Price Table 8 Syderal'!W65+'Price Table 8 APCO'!W65+'Price Table 8 EPFL'!W65+'Price Table 8 AIUB'!W65</f>
        <v>#REF!</v>
      </c>
      <c r="X65" s="123" t="e">
        <f>'Price Table 8 CS'!X65+'Price Table 8 OHB'!X65+'Price Table 8 Airbus'!X65+'Price Table 8 RUAG'!X65+'Price Table 8 Syderal'!X65+'Price Table 8 APCO'!X65+'Price Table 8 EPFL'!X65+'Price Table 8 AIUB'!X65</f>
        <v>#REF!</v>
      </c>
      <c r="Y65" s="123" t="e">
        <f>'Price Table 8 CS'!Y65+'Price Table 8 OHB'!Y65+'Price Table 8 Airbus'!Y65+'Price Table 8 RUAG'!Y65+'Price Table 8 Syderal'!Y65+'Price Table 8 APCO'!Y65+'Price Table 8 EPFL'!Y65+'Price Table 8 AIUB'!Y65</f>
        <v>#REF!</v>
      </c>
      <c r="Z65" s="123" t="e">
        <f>'Price Table 8 CS'!Z65+'Price Table 8 OHB'!Z65+'Price Table 8 Airbus'!Z65+'Price Table 8 RUAG'!Z65+'Price Table 8 Syderal'!Z65+'Price Table 8 APCO'!Z65+'Price Table 8 EPFL'!Z65+'Price Table 8 AIUB'!Z65</f>
        <v>#REF!</v>
      </c>
      <c r="AA65" s="123" t="e">
        <f>'Price Table 8 CS'!AA65+'Price Table 8 OHB'!AA65+'Price Table 8 Airbus'!AA65+'Price Table 8 RUAG'!AA65+'Price Table 8 Syderal'!AA65+'Price Table 8 APCO'!AA65+'Price Table 8 EPFL'!AA65+'Price Table 8 AIUB'!AA65</f>
        <v>#REF!</v>
      </c>
      <c r="AB65" s="123" t="e">
        <f>'Price Table 8 CS'!AB65+'Price Table 8 OHB'!AB65+'Price Table 8 Airbus'!AB65+'Price Table 8 RUAG'!AB65+'Price Table 8 Syderal'!AB65+'Price Table 8 APCO'!AB65+'Price Table 8 EPFL'!AB65+'Price Table 8 AIUB'!AB65</f>
        <v>#REF!</v>
      </c>
      <c r="AC65" s="123" t="e">
        <f>'Price Table 8 CS'!AC65+'Price Table 8 OHB'!AC65+'Price Table 8 Airbus'!AC65+'Price Table 8 RUAG'!AC65+'Price Table 8 Syderal'!AC65+'Price Table 8 APCO'!AC65+'Price Table 8 EPFL'!AC65+'Price Table 8 AIUB'!AC65</f>
        <v>#REF!</v>
      </c>
      <c r="AD65" s="123" t="e">
        <f>'Price Table 8 CS'!AD65+'Price Table 8 OHB'!AD65+'Price Table 8 Airbus'!AD65+'Price Table 8 RUAG'!AD65+'Price Table 8 Syderal'!AD65+'Price Table 8 APCO'!AD65+'Price Table 8 EPFL'!AD65+'Price Table 8 AIUB'!AD65</f>
        <v>#REF!</v>
      </c>
      <c r="AE65" s="123" t="e">
        <f>'Price Table 8 CS'!AE65+'Price Table 8 OHB'!AE65+'Price Table 8 Airbus'!AE65+'Price Table 8 RUAG'!AE65+'Price Table 8 Syderal'!AE65+'Price Table 8 APCO'!AE65+'Price Table 8 EPFL'!AE65+'Price Table 8 AIUB'!AE65</f>
        <v>#REF!</v>
      </c>
      <c r="AF65" s="123" t="e">
        <f>'Price Table 8 CS'!AF65+'Price Table 8 OHB'!AF65+'Price Table 8 Airbus'!AF65+'Price Table 8 RUAG'!AF65+'Price Table 8 Syderal'!AF65+'Price Table 8 APCO'!AF65+'Price Table 8 EPFL'!AF65+'Price Table 8 AIUB'!AF65</f>
        <v>#REF!</v>
      </c>
      <c r="AG65" s="123" t="e">
        <f>'Price Table 8 CS'!AG65+'Price Table 8 OHB'!AG65+'Price Table 8 Airbus'!AG65+'Price Table 8 RUAG'!AG65+'Price Table 8 Syderal'!AG65+'Price Table 8 APCO'!AG65+'Price Table 8 EPFL'!AG65+'Price Table 8 AIUB'!AG65</f>
        <v>#REF!</v>
      </c>
      <c r="AH65" s="124" t="e">
        <f t="shared" si="0"/>
        <v>#REF!</v>
      </c>
    </row>
    <row r="66" spans="1:37" s="16" customFormat="1">
      <c r="B66" s="45"/>
      <c r="C66" s="55"/>
      <c r="D66" s="56" t="s">
        <v>562</v>
      </c>
      <c r="E66" s="57"/>
      <c r="F66" s="57"/>
      <c r="G66" s="57"/>
      <c r="H66" s="17"/>
    </row>
    <row r="67" spans="1:37">
      <c r="A67" t="s">
        <v>377</v>
      </c>
      <c r="B67" s="48" t="s">
        <v>622</v>
      </c>
      <c r="C67" s="49"/>
      <c r="D67" s="50"/>
      <c r="E67" s="36" t="s">
        <v>139</v>
      </c>
      <c r="F67" s="36" t="s">
        <v>117</v>
      </c>
      <c r="G67" s="36" t="str">
        <f>CONCATENATE(E67,F67)</f>
        <v>TECHProcurement</v>
      </c>
      <c r="H67" s="16">
        <v>540000</v>
      </c>
      <c r="J67" s="123" t="e">
        <f>'Price Table 8 CS'!J67+'Price Table 8 OHB'!J67+'Price Table 8 Airbus'!J67+'Price Table 8 RUAG'!J67+'Price Table 8 Syderal'!J67+'Price Table 8 APCO'!J67+'Price Table 8 EPFL'!J67+'Price Table 8 AIUB'!J67</f>
        <v>#REF!</v>
      </c>
      <c r="K67" s="123" t="e">
        <f>'Price Table 8 CS'!K67+'Price Table 8 OHB'!K67+'Price Table 8 Airbus'!K67+'Price Table 8 RUAG'!K67+'Price Table 8 Syderal'!K67+'Price Table 8 APCO'!K67+'Price Table 8 EPFL'!K67+'Price Table 8 AIUB'!K67</f>
        <v>#REF!</v>
      </c>
      <c r="L67" s="123" t="e">
        <f>'Price Table 8 CS'!L67+'Price Table 8 OHB'!L67+'Price Table 8 Airbus'!L67+'Price Table 8 RUAG'!L67+'Price Table 8 Syderal'!L67+'Price Table 8 APCO'!L67+'Price Table 8 EPFL'!L67+'Price Table 8 AIUB'!L67</f>
        <v>#REF!</v>
      </c>
      <c r="M67" s="123" t="e">
        <f>'Price Table 8 CS'!M67+'Price Table 8 OHB'!M67+'Price Table 8 Airbus'!M67+'Price Table 8 RUAG'!M67+'Price Table 8 Syderal'!M67+'Price Table 8 APCO'!M67+'Price Table 8 EPFL'!M67+'Price Table 8 AIUB'!M67</f>
        <v>#REF!</v>
      </c>
      <c r="N67" s="123" t="e">
        <f>'Price Table 8 CS'!N67+'Price Table 8 OHB'!N67+'Price Table 8 Airbus'!N67+'Price Table 8 RUAG'!N67+'Price Table 8 Syderal'!N67+'Price Table 8 APCO'!N67+'Price Table 8 EPFL'!N67+'Price Table 8 AIUB'!N67</f>
        <v>#REF!</v>
      </c>
      <c r="O67" s="123" t="e">
        <f>'Price Table 8 CS'!O67+'Price Table 8 OHB'!O67+'Price Table 8 Airbus'!O67+'Price Table 8 RUAG'!O67+'Price Table 8 Syderal'!O67+'Price Table 8 APCO'!O67+'Price Table 8 EPFL'!O67+'Price Table 8 AIUB'!O67</f>
        <v>#REF!</v>
      </c>
      <c r="P67" s="123" t="e">
        <f>'Price Table 8 CS'!P67+'Price Table 8 OHB'!P67+'Price Table 8 Airbus'!P67+'Price Table 8 RUAG'!P67+'Price Table 8 Syderal'!P67+'Price Table 8 APCO'!P67+'Price Table 8 EPFL'!P67+'Price Table 8 AIUB'!P67</f>
        <v>#REF!</v>
      </c>
      <c r="Q67" s="123" t="e">
        <f>'Price Table 8 CS'!Q67+'Price Table 8 OHB'!Q67+'Price Table 8 Airbus'!Q67+'Price Table 8 RUAG'!Q67+'Price Table 8 Syderal'!Q67+'Price Table 8 APCO'!Q67+'Price Table 8 EPFL'!Q67+'Price Table 8 AIUB'!Q67</f>
        <v>#REF!</v>
      </c>
      <c r="R67" s="123" t="e">
        <f>'Price Table 8 CS'!R67+'Price Table 8 OHB'!R67+'Price Table 8 Airbus'!R67+'Price Table 8 RUAG'!R67+'Price Table 8 Syderal'!R67+'Price Table 8 APCO'!R67+'Price Table 8 EPFL'!R67+'Price Table 8 AIUB'!R67</f>
        <v>#REF!</v>
      </c>
      <c r="S67" s="123" t="e">
        <f>'Price Table 8 CS'!S67+'Price Table 8 OHB'!S67+'Price Table 8 Airbus'!S67+'Price Table 8 RUAG'!S67+'Price Table 8 Syderal'!S67+'Price Table 8 APCO'!S67+'Price Table 8 EPFL'!S67+'Price Table 8 AIUB'!S67</f>
        <v>#REF!</v>
      </c>
      <c r="T67" s="123" t="e">
        <f>'Price Table 8 CS'!T67+'Price Table 8 OHB'!T67+'Price Table 8 Airbus'!T67+'Price Table 8 RUAG'!T67+'Price Table 8 Syderal'!T67+'Price Table 8 APCO'!T67+'Price Table 8 EPFL'!T67+'Price Table 8 AIUB'!T67</f>
        <v>#REF!</v>
      </c>
      <c r="U67" s="123" t="e">
        <f>'Price Table 8 CS'!U67+'Price Table 8 OHB'!U67+'Price Table 8 Airbus'!U67+'Price Table 8 RUAG'!U67+'Price Table 8 Syderal'!U67+'Price Table 8 APCO'!U67+'Price Table 8 EPFL'!U67+'Price Table 8 AIUB'!U67</f>
        <v>#REF!</v>
      </c>
      <c r="V67" s="123" t="e">
        <f>'Price Table 8 CS'!V67+'Price Table 8 OHB'!V67+'Price Table 8 Airbus'!V67+'Price Table 8 RUAG'!V67+'Price Table 8 Syderal'!V67+'Price Table 8 APCO'!V67+'Price Table 8 EPFL'!V67+'Price Table 8 AIUB'!V67</f>
        <v>#REF!</v>
      </c>
      <c r="W67" s="123" t="e">
        <f>'Price Table 8 CS'!W67+'Price Table 8 OHB'!W67+'Price Table 8 Airbus'!W67+'Price Table 8 RUAG'!W67+'Price Table 8 Syderal'!W67+'Price Table 8 APCO'!W67+'Price Table 8 EPFL'!W67+'Price Table 8 AIUB'!W67</f>
        <v>#REF!</v>
      </c>
      <c r="X67" s="123" t="e">
        <f>'Price Table 8 CS'!X67+'Price Table 8 OHB'!X67+'Price Table 8 Airbus'!X67+'Price Table 8 RUAG'!X67+'Price Table 8 Syderal'!X67+'Price Table 8 APCO'!X67+'Price Table 8 EPFL'!X67+'Price Table 8 AIUB'!X67</f>
        <v>#REF!</v>
      </c>
      <c r="Y67" s="123" t="e">
        <f>'Price Table 8 CS'!Y67+'Price Table 8 OHB'!Y67+'Price Table 8 Airbus'!Y67+'Price Table 8 RUAG'!Y67+'Price Table 8 Syderal'!Y67+'Price Table 8 APCO'!Y67+'Price Table 8 EPFL'!Y67+'Price Table 8 AIUB'!Y67</f>
        <v>#REF!</v>
      </c>
      <c r="Z67" s="123" t="e">
        <f>'Price Table 8 CS'!Z67+'Price Table 8 OHB'!Z67+'Price Table 8 Airbus'!Z67+'Price Table 8 RUAG'!Z67+'Price Table 8 Syderal'!Z67+'Price Table 8 APCO'!Z67+'Price Table 8 EPFL'!Z67+'Price Table 8 AIUB'!Z67</f>
        <v>#REF!</v>
      </c>
      <c r="AA67" s="123" t="e">
        <f>'Price Table 8 CS'!AA67+'Price Table 8 OHB'!AA67+'Price Table 8 Airbus'!AA67+'Price Table 8 RUAG'!AA67+'Price Table 8 Syderal'!AA67+'Price Table 8 APCO'!AA67+'Price Table 8 EPFL'!AA67+'Price Table 8 AIUB'!AA67</f>
        <v>#REF!</v>
      </c>
      <c r="AB67" s="123" t="e">
        <f>'Price Table 8 CS'!AB67+'Price Table 8 OHB'!AB67+'Price Table 8 Airbus'!AB67+'Price Table 8 RUAG'!AB67+'Price Table 8 Syderal'!AB67+'Price Table 8 APCO'!AB67+'Price Table 8 EPFL'!AB67+'Price Table 8 AIUB'!AB67</f>
        <v>#REF!</v>
      </c>
      <c r="AC67" s="123" t="e">
        <f>'Price Table 8 CS'!AC67+'Price Table 8 OHB'!AC67+'Price Table 8 Airbus'!AC67+'Price Table 8 RUAG'!AC67+'Price Table 8 Syderal'!AC67+'Price Table 8 APCO'!AC67+'Price Table 8 EPFL'!AC67+'Price Table 8 AIUB'!AC67</f>
        <v>#REF!</v>
      </c>
      <c r="AD67" s="123" t="e">
        <f>'Price Table 8 CS'!AD67+'Price Table 8 OHB'!AD67+'Price Table 8 Airbus'!AD67+'Price Table 8 RUAG'!AD67+'Price Table 8 Syderal'!AD67+'Price Table 8 APCO'!AD67+'Price Table 8 EPFL'!AD67+'Price Table 8 AIUB'!AD67</f>
        <v>#REF!</v>
      </c>
      <c r="AE67" s="123" t="e">
        <f>'Price Table 8 CS'!AE67+'Price Table 8 OHB'!AE67+'Price Table 8 Airbus'!AE67+'Price Table 8 RUAG'!AE67+'Price Table 8 Syderal'!AE67+'Price Table 8 APCO'!AE67+'Price Table 8 EPFL'!AE67+'Price Table 8 AIUB'!AE67</f>
        <v>#REF!</v>
      </c>
      <c r="AF67" s="123" t="e">
        <f>'Price Table 8 CS'!AF67+'Price Table 8 OHB'!AF67+'Price Table 8 Airbus'!AF67+'Price Table 8 RUAG'!AF67+'Price Table 8 Syderal'!AF67+'Price Table 8 APCO'!AF67+'Price Table 8 EPFL'!AF67+'Price Table 8 AIUB'!AF67</f>
        <v>#REF!</v>
      </c>
      <c r="AG67" s="123" t="e">
        <f>'Price Table 8 CS'!AG67+'Price Table 8 OHB'!AG67+'Price Table 8 Airbus'!AG67+'Price Table 8 RUAG'!AG67+'Price Table 8 Syderal'!AG67+'Price Table 8 APCO'!AG67+'Price Table 8 EPFL'!AG67+'Price Table 8 AIUB'!AG67</f>
        <v>#REF!</v>
      </c>
      <c r="AH67" s="124" t="e">
        <f t="shared" si="0"/>
        <v>#REF!</v>
      </c>
    </row>
    <row r="68" spans="1:37" hidden="1">
      <c r="B68" s="20" t="s">
        <v>623</v>
      </c>
      <c r="C68" s="21"/>
      <c r="D68" s="22"/>
      <c r="H68"/>
      <c r="J68" s="123">
        <f>'Price Table 8 CS'!J68+'Price Table 8 OHB'!J68+'Price Table 8 Airbus'!J68+'Price Table 8 RUAG'!J68+'Price Table 8 Syderal'!J68+'Price Table 8 APCO'!J68+'Price Table 8 EPFL'!J68+'Price Table 8 AIUB'!J68</f>
        <v>0</v>
      </c>
      <c r="K68" s="123">
        <f>'Price Table 8 CS'!K68+'Price Table 8 OHB'!K68+'Price Table 8 Airbus'!K68+'Price Table 8 RUAG'!K68+'Price Table 8 Syderal'!K68+'Price Table 8 APCO'!K68+'Price Table 8 EPFL'!K68+'Price Table 8 AIUB'!K68</f>
        <v>0</v>
      </c>
      <c r="L68" s="123">
        <f>'Price Table 8 CS'!L68+'Price Table 8 OHB'!L68+'Price Table 8 Airbus'!L68+'Price Table 8 RUAG'!L68+'Price Table 8 Syderal'!L68+'Price Table 8 APCO'!L68+'Price Table 8 EPFL'!L68+'Price Table 8 AIUB'!L68</f>
        <v>0</v>
      </c>
      <c r="M68" s="123">
        <f>'Price Table 8 CS'!M68+'Price Table 8 OHB'!M68+'Price Table 8 Airbus'!M68+'Price Table 8 RUAG'!M68+'Price Table 8 Syderal'!M68+'Price Table 8 APCO'!M68+'Price Table 8 EPFL'!M68+'Price Table 8 AIUB'!M68</f>
        <v>0</v>
      </c>
      <c r="N68" s="123">
        <f>'Price Table 8 CS'!N68+'Price Table 8 OHB'!N68+'Price Table 8 Airbus'!N68+'Price Table 8 RUAG'!N68+'Price Table 8 Syderal'!N68+'Price Table 8 APCO'!N68+'Price Table 8 EPFL'!N68+'Price Table 8 AIUB'!N68</f>
        <v>0</v>
      </c>
      <c r="O68" s="123">
        <f>'Price Table 8 CS'!O68+'Price Table 8 OHB'!O68+'Price Table 8 Airbus'!O68+'Price Table 8 RUAG'!O68+'Price Table 8 Syderal'!O68+'Price Table 8 APCO'!O68+'Price Table 8 EPFL'!O68+'Price Table 8 AIUB'!O68</f>
        <v>0</v>
      </c>
      <c r="P68" s="123">
        <f>'Price Table 8 CS'!P68+'Price Table 8 OHB'!P68+'Price Table 8 Airbus'!P68+'Price Table 8 RUAG'!P68+'Price Table 8 Syderal'!P68+'Price Table 8 APCO'!P68+'Price Table 8 EPFL'!P68+'Price Table 8 AIUB'!P68</f>
        <v>0</v>
      </c>
      <c r="Q68" s="123">
        <f>'Price Table 8 CS'!Q68+'Price Table 8 OHB'!Q68+'Price Table 8 Airbus'!Q68+'Price Table 8 RUAG'!Q68+'Price Table 8 Syderal'!Q68+'Price Table 8 APCO'!Q68+'Price Table 8 EPFL'!Q68+'Price Table 8 AIUB'!Q68</f>
        <v>0</v>
      </c>
      <c r="R68" s="123">
        <f>'Price Table 8 CS'!R68+'Price Table 8 OHB'!R68+'Price Table 8 Airbus'!R68+'Price Table 8 RUAG'!R68+'Price Table 8 Syderal'!R68+'Price Table 8 APCO'!R68+'Price Table 8 EPFL'!R68+'Price Table 8 AIUB'!R68</f>
        <v>0</v>
      </c>
      <c r="S68" s="123">
        <f>'Price Table 8 CS'!S68+'Price Table 8 OHB'!S68+'Price Table 8 Airbus'!S68+'Price Table 8 RUAG'!S68+'Price Table 8 Syderal'!S68+'Price Table 8 APCO'!S68+'Price Table 8 EPFL'!S68+'Price Table 8 AIUB'!S68</f>
        <v>0</v>
      </c>
      <c r="T68" s="123">
        <f>'Price Table 8 CS'!T68+'Price Table 8 OHB'!T68+'Price Table 8 Airbus'!T68+'Price Table 8 RUAG'!T68+'Price Table 8 Syderal'!T68+'Price Table 8 APCO'!T68+'Price Table 8 EPFL'!T68+'Price Table 8 AIUB'!T68</f>
        <v>0</v>
      </c>
      <c r="U68" s="123">
        <f>'Price Table 8 CS'!U68+'Price Table 8 OHB'!U68+'Price Table 8 Airbus'!U68+'Price Table 8 RUAG'!U68+'Price Table 8 Syderal'!U68+'Price Table 8 APCO'!U68+'Price Table 8 EPFL'!U68+'Price Table 8 AIUB'!U68</f>
        <v>0</v>
      </c>
      <c r="V68" s="123">
        <f>'Price Table 8 CS'!V68+'Price Table 8 OHB'!V68+'Price Table 8 Airbus'!V68+'Price Table 8 RUAG'!V68+'Price Table 8 Syderal'!V68+'Price Table 8 APCO'!V68+'Price Table 8 EPFL'!V68+'Price Table 8 AIUB'!V68</f>
        <v>0</v>
      </c>
      <c r="W68" s="123">
        <f>'Price Table 8 CS'!W68+'Price Table 8 OHB'!W68+'Price Table 8 Airbus'!W68+'Price Table 8 RUAG'!W68+'Price Table 8 Syderal'!W68+'Price Table 8 APCO'!W68+'Price Table 8 EPFL'!W68+'Price Table 8 AIUB'!W68</f>
        <v>0</v>
      </c>
      <c r="X68" s="123">
        <f>'Price Table 8 CS'!X68+'Price Table 8 OHB'!X68+'Price Table 8 Airbus'!X68+'Price Table 8 RUAG'!X68+'Price Table 8 Syderal'!X68+'Price Table 8 APCO'!X68+'Price Table 8 EPFL'!X68+'Price Table 8 AIUB'!X68</f>
        <v>0</v>
      </c>
      <c r="Y68" s="123">
        <f>'Price Table 8 CS'!Y68+'Price Table 8 OHB'!Y68+'Price Table 8 Airbus'!Y68+'Price Table 8 RUAG'!Y68+'Price Table 8 Syderal'!Y68+'Price Table 8 APCO'!Y68+'Price Table 8 EPFL'!Y68+'Price Table 8 AIUB'!Y68</f>
        <v>0</v>
      </c>
      <c r="Z68" s="123">
        <f>'Price Table 8 CS'!Z68+'Price Table 8 OHB'!Z68+'Price Table 8 Airbus'!Z68+'Price Table 8 RUAG'!Z68+'Price Table 8 Syderal'!Z68+'Price Table 8 APCO'!Z68+'Price Table 8 EPFL'!Z68+'Price Table 8 AIUB'!Z68</f>
        <v>0</v>
      </c>
      <c r="AA68" s="123">
        <f>'Price Table 8 CS'!AA68+'Price Table 8 OHB'!AA68+'Price Table 8 Airbus'!AA68+'Price Table 8 RUAG'!AA68+'Price Table 8 Syderal'!AA68+'Price Table 8 APCO'!AA68+'Price Table 8 EPFL'!AA68+'Price Table 8 AIUB'!AA68</f>
        <v>0</v>
      </c>
      <c r="AB68" s="123">
        <f>'Price Table 8 CS'!AB68+'Price Table 8 OHB'!AB68+'Price Table 8 Airbus'!AB68+'Price Table 8 RUAG'!AB68+'Price Table 8 Syderal'!AB68+'Price Table 8 APCO'!AB68+'Price Table 8 EPFL'!AB68+'Price Table 8 AIUB'!AB68</f>
        <v>0</v>
      </c>
      <c r="AC68" s="123">
        <f>'Price Table 8 CS'!AC68+'Price Table 8 OHB'!AC68+'Price Table 8 Airbus'!AC68+'Price Table 8 RUAG'!AC68+'Price Table 8 Syderal'!AC68+'Price Table 8 APCO'!AC68+'Price Table 8 EPFL'!AC68+'Price Table 8 AIUB'!AC68</f>
        <v>0</v>
      </c>
      <c r="AD68" s="123">
        <f>'Price Table 8 CS'!AD68+'Price Table 8 OHB'!AD68+'Price Table 8 Airbus'!AD68+'Price Table 8 RUAG'!AD68+'Price Table 8 Syderal'!AD68+'Price Table 8 APCO'!AD68+'Price Table 8 EPFL'!AD68+'Price Table 8 AIUB'!AD68</f>
        <v>0</v>
      </c>
      <c r="AE68" s="123">
        <f>'Price Table 8 CS'!AE68+'Price Table 8 OHB'!AE68+'Price Table 8 Airbus'!AE68+'Price Table 8 RUAG'!AE68+'Price Table 8 Syderal'!AE68+'Price Table 8 APCO'!AE68+'Price Table 8 EPFL'!AE68+'Price Table 8 AIUB'!AE68</f>
        <v>0</v>
      </c>
      <c r="AF68" s="123">
        <f>'Price Table 8 CS'!AF68+'Price Table 8 OHB'!AF68+'Price Table 8 Airbus'!AF68+'Price Table 8 RUAG'!AF68+'Price Table 8 Syderal'!AF68+'Price Table 8 APCO'!AF68+'Price Table 8 EPFL'!AF68+'Price Table 8 AIUB'!AF68</f>
        <v>0</v>
      </c>
      <c r="AG68" s="123">
        <f>'Price Table 8 CS'!AG68+'Price Table 8 OHB'!AG68+'Price Table 8 Airbus'!AG68+'Price Table 8 RUAG'!AG68+'Price Table 8 Syderal'!AG68+'Price Table 8 APCO'!AG68+'Price Table 8 EPFL'!AG68+'Price Table 8 AIUB'!AG68</f>
        <v>0</v>
      </c>
      <c r="AH68" s="124">
        <f t="shared" si="0"/>
        <v>0</v>
      </c>
    </row>
    <row r="69" spans="1:37" ht="21.95" customHeight="1">
      <c r="B69" s="23"/>
      <c r="C69" s="5"/>
      <c r="D69" s="5"/>
      <c r="E69"/>
      <c r="F69"/>
      <c r="G69"/>
      <c r="H69"/>
      <c r="J69" s="124"/>
      <c r="K69" s="124"/>
      <c r="L69" s="124"/>
      <c r="M69" s="124"/>
      <c r="N69" s="124"/>
      <c r="O69" s="124"/>
      <c r="P69" s="124"/>
      <c r="Q69" s="124"/>
      <c r="R69" s="124"/>
      <c r="S69" s="124"/>
      <c r="T69" s="124"/>
      <c r="U69" s="124"/>
      <c r="V69" s="124"/>
      <c r="W69" s="124"/>
      <c r="X69" s="124"/>
      <c r="Y69" s="124"/>
      <c r="Z69" s="124"/>
      <c r="AA69" s="124"/>
      <c r="AB69" s="124"/>
      <c r="AC69" s="124"/>
      <c r="AD69" s="124"/>
      <c r="AE69" s="124"/>
      <c r="AF69" s="124"/>
      <c r="AG69" s="124"/>
    </row>
    <row r="70" spans="1:37" ht="21.95" customHeight="1">
      <c r="A70" t="s">
        <v>9</v>
      </c>
      <c r="B70" s="12" t="s">
        <v>624</v>
      </c>
      <c r="C70" s="13"/>
      <c r="D70" s="14"/>
      <c r="E70" s="37" t="s">
        <v>14</v>
      </c>
      <c r="F70" s="36" t="s">
        <v>117</v>
      </c>
      <c r="G70" s="36" t="str">
        <f>CONCATENATE(E70,F70)</f>
        <v>MISSIONProcurement</v>
      </c>
      <c r="H70" s="16">
        <v>320000</v>
      </c>
      <c r="J70" s="119" t="e">
        <f>SUMIF(#REF!,'Price Table 8 CS'!$A70,#REF!)</f>
        <v>#REF!</v>
      </c>
      <c r="K70" s="28" t="e">
        <f>SUMIF(#REF!,'Price Table 8 CS'!$A70,#REF!)</f>
        <v>#REF!</v>
      </c>
      <c r="L70" s="28" t="e">
        <f>SUMIF(#REF!,'Price Table 8 CS'!$A70,#REF!)</f>
        <v>#REF!</v>
      </c>
      <c r="M70" s="28" t="e">
        <f>SUMIF(#REF!,'Price Table 8 CS'!$A70,#REF!)</f>
        <v>#REF!</v>
      </c>
      <c r="N70" s="28" t="e">
        <f>SUMIF(#REF!,'Price Table 8 CS'!$A70,#REF!)</f>
        <v>#REF!</v>
      </c>
      <c r="O70" s="28" t="e">
        <f>SUMIF(#REF!,'Price Table 8 CS'!$A70,#REF!)-150</f>
        <v>#REF!</v>
      </c>
      <c r="P70" s="28" t="e">
        <f>SUMIF(#REF!,'Price Table 8 CS'!$A70,#REF!)</f>
        <v>#REF!</v>
      </c>
      <c r="Q70" s="28" t="e">
        <f>SUMIF(#REF!,'Price Table 8 CS'!$A70,#REF!)</f>
        <v>#REF!</v>
      </c>
      <c r="R70" s="28" t="e">
        <f>SUMIF(#REF!,'Price Table 8 CS'!$A70,#REF!)</f>
        <v>#REF!</v>
      </c>
      <c r="S70" s="28" t="e">
        <f>SUMIF(#REF!,'Price Table 8 CS'!$A70,#REF!)</f>
        <v>#REF!</v>
      </c>
      <c r="T70" s="28" t="e">
        <f>SUMIF(#REF!,'Price Table 8 CS'!$A70,#REF!)</f>
        <v>#REF!</v>
      </c>
      <c r="U70" s="28" t="e">
        <f>SUMIF(#REF!,'Price Table 8 CS'!$A70,#REF!)</f>
        <v>#REF!</v>
      </c>
      <c r="V70" s="28" t="e">
        <f>SUMIF(#REF!,'Price Table 8 CS'!$A70,#REF!)</f>
        <v>#REF!</v>
      </c>
      <c r="W70" s="28" t="e">
        <f>SUMIF(#REF!,'Price Table 8 CS'!$A70,#REF!)</f>
        <v>#REF!</v>
      </c>
      <c r="X70" s="28" t="e">
        <f>SUMIF(#REF!,'Price Table 8 CS'!$A70,#REF!)</f>
        <v>#REF!</v>
      </c>
      <c r="Y70" s="28" t="e">
        <f>SUMIF(#REF!,'Price Table 8 CS'!$A70,#REF!)-1200</f>
        <v>#REF!</v>
      </c>
      <c r="Z70" s="28" t="e">
        <f>SUMIF(#REF!,'Price Table 8 CS'!$A70,#REF!)</f>
        <v>#REF!</v>
      </c>
      <c r="AA70" s="28" t="e">
        <f>SUMIF(#REF!,'Price Table 8 CS'!$A70,#REF!)-750</f>
        <v>#REF!</v>
      </c>
      <c r="AB70" s="28" t="e">
        <f>SUMIF(#REF!,'Price Table 8 CS'!$A70,#REF!)</f>
        <v>#REF!</v>
      </c>
      <c r="AC70" s="28" t="e">
        <f>SUMIF(#REF!,'Price Table 8 CS'!$A70,#REF!)-600</f>
        <v>#REF!</v>
      </c>
      <c r="AD70" s="28" t="e">
        <f>SUMIF(#REF!,'Price Table 8 CS'!$A70,#REF!)-300</f>
        <v>#REF!</v>
      </c>
      <c r="AE70" s="28" t="e">
        <f>SUMIF(#REF!,'Price Table 8 CS'!$A70,#REF!)</f>
        <v>#REF!</v>
      </c>
      <c r="AF70" s="28" t="e">
        <f>SUMIF(#REF!,'Price Table 8 CS'!$A70,#REF!)</f>
        <v>#REF!</v>
      </c>
      <c r="AG70" s="28" t="e">
        <f>SUMIF(#REF!,'Price Table 8 CS'!$A70,#REF!)</f>
        <v>#REF!</v>
      </c>
      <c r="AH70" s="124" t="e">
        <f t="shared" ref="AH70" si="1">SUM(J70:AG70)</f>
        <v>#REF!</v>
      </c>
    </row>
    <row r="71" spans="1:37" ht="21.95" customHeight="1">
      <c r="B71" s="5"/>
      <c r="C71" s="5"/>
      <c r="D71" s="5"/>
      <c r="E71"/>
      <c r="F71"/>
      <c r="G71"/>
      <c r="H71"/>
      <c r="J71" s="124"/>
      <c r="K71" s="124"/>
      <c r="L71" s="124"/>
      <c r="M71" s="124"/>
      <c r="N71" s="124"/>
      <c r="O71" s="124"/>
      <c r="P71" s="124"/>
      <c r="Q71" s="124"/>
      <c r="R71" s="124"/>
      <c r="S71" s="124"/>
      <c r="T71" s="124"/>
      <c r="U71" s="124"/>
      <c r="V71" s="124"/>
      <c r="W71" s="124"/>
      <c r="X71" s="124"/>
      <c r="Y71" s="124"/>
      <c r="Z71" s="124"/>
      <c r="AA71" s="124"/>
      <c r="AB71" s="124"/>
      <c r="AC71" s="124"/>
      <c r="AD71" s="124"/>
      <c r="AE71" s="124"/>
      <c r="AF71" s="124"/>
      <c r="AG71" s="124"/>
    </row>
    <row r="72" spans="1:37" ht="15.75" thickBot="1">
      <c r="B72" s="23"/>
      <c r="C72" s="5"/>
      <c r="D72" s="5"/>
      <c r="H72"/>
      <c r="AH72"/>
    </row>
    <row r="73" spans="1:37">
      <c r="B73" s="320" t="s">
        <v>625</v>
      </c>
      <c r="C73" s="313"/>
      <c r="D73" s="314"/>
      <c r="H73"/>
      <c r="AH73"/>
    </row>
    <row r="74" spans="1:37">
      <c r="A74" t="s">
        <v>389</v>
      </c>
      <c r="B74" s="321" t="s">
        <v>626</v>
      </c>
      <c r="C74" s="19"/>
      <c r="D74" s="315"/>
      <c r="E74" s="37" t="s">
        <v>14</v>
      </c>
      <c r="F74" s="36" t="s">
        <v>13</v>
      </c>
      <c r="G74" s="36" t="str">
        <f>CONCATENATE(E74,F74)</f>
        <v>MISSIONManpower</v>
      </c>
      <c r="H74" s="64" t="s">
        <v>627</v>
      </c>
      <c r="J74" s="123" t="e">
        <f>'Price Table 8 CS'!J74+'Price Table 8 OHB'!J74+'Price Table 8 Airbus'!J74+'Price Table 8 RUAG'!J74+'Price Table 8 Syderal'!J74+'Price Table 8 APCO'!J74+'Price Table 8 EPFL'!J74+'Price Table 8 AIUB'!J74</f>
        <v>#REF!</v>
      </c>
      <c r="K74" s="123" t="e">
        <f>'Price Table 8 CS'!K74+'Price Table 8 OHB'!K74+'Price Table 8 Airbus'!K74+'Price Table 8 RUAG'!K74+'Price Table 8 Syderal'!K74+'Price Table 8 APCO'!K74+'Price Table 8 EPFL'!K74+'Price Table 8 AIUB'!K74</f>
        <v>#REF!</v>
      </c>
      <c r="L74" s="123" t="e">
        <f>'Price Table 8 CS'!L74+'Price Table 8 OHB'!L74+'Price Table 8 Airbus'!L74+'Price Table 8 RUAG'!L74+'Price Table 8 Syderal'!L74+'Price Table 8 APCO'!L74+'Price Table 8 EPFL'!L74+'Price Table 8 AIUB'!L74</f>
        <v>#REF!</v>
      </c>
      <c r="M74" s="123" t="e">
        <f>'Price Table 8 CS'!M74+'Price Table 8 OHB'!M74+'Price Table 8 Airbus'!M74+'Price Table 8 RUAG'!M74+'Price Table 8 Syderal'!M74+'Price Table 8 APCO'!M74+'Price Table 8 EPFL'!M74+'Price Table 8 AIUB'!M74</f>
        <v>#REF!</v>
      </c>
      <c r="N74" s="123" t="e">
        <f>'Price Table 8 CS'!N74+'Price Table 8 OHB'!N74+'Price Table 8 Airbus'!N74+'Price Table 8 RUAG'!N74+'Price Table 8 Syderal'!N74+'Price Table 8 APCO'!N74+'Price Table 8 EPFL'!N74+'Price Table 8 AIUB'!N74</f>
        <v>#REF!</v>
      </c>
      <c r="O74" s="123" t="e">
        <f>'Price Table 8 CS'!O74+'Price Table 8 OHB'!O74+'Price Table 8 Airbus'!O74+'Price Table 8 RUAG'!O74+'Price Table 8 Syderal'!O74+'Price Table 8 APCO'!O74+'Price Table 8 EPFL'!O74+'Price Table 8 AIUB'!O74</f>
        <v>#REF!</v>
      </c>
      <c r="P74" s="123" t="e">
        <f>'Price Table 8 CS'!P74+'Price Table 8 OHB'!P74+'Price Table 8 Airbus'!P74+'Price Table 8 RUAG'!P74+'Price Table 8 Syderal'!P74+'Price Table 8 APCO'!P74+'Price Table 8 EPFL'!P74+'Price Table 8 AIUB'!P74</f>
        <v>#REF!</v>
      </c>
      <c r="Q74" s="123" t="e">
        <f>'Price Table 8 CS'!Q74+'Price Table 8 OHB'!Q74+'Price Table 8 Airbus'!Q74+'Price Table 8 RUAG'!Q74+'Price Table 8 Syderal'!Q74+'Price Table 8 APCO'!Q74+'Price Table 8 EPFL'!Q74+'Price Table 8 AIUB'!Q74</f>
        <v>#REF!</v>
      </c>
      <c r="R74" s="123" t="e">
        <f>'Price Table 8 CS'!R74+'Price Table 8 OHB'!R74+'Price Table 8 Airbus'!R74+'Price Table 8 RUAG'!R74+'Price Table 8 Syderal'!R74+'Price Table 8 APCO'!R74+'Price Table 8 EPFL'!R74+'Price Table 8 AIUB'!R74</f>
        <v>#REF!</v>
      </c>
      <c r="S74" s="123" t="e">
        <f>'Price Table 8 CS'!S74+'Price Table 8 OHB'!S74+'Price Table 8 Airbus'!S74+'Price Table 8 RUAG'!S74+'Price Table 8 Syderal'!S74+'Price Table 8 APCO'!S74+'Price Table 8 EPFL'!S74+'Price Table 8 AIUB'!S74</f>
        <v>#REF!</v>
      </c>
      <c r="T74" s="123" t="e">
        <f>'Price Table 8 CS'!T74+'Price Table 8 OHB'!T74+'Price Table 8 Airbus'!T74+'Price Table 8 RUAG'!T74+'Price Table 8 Syderal'!T74+'Price Table 8 APCO'!T74+'Price Table 8 EPFL'!T74+'Price Table 8 AIUB'!T74</f>
        <v>#REF!</v>
      </c>
      <c r="U74" s="123" t="e">
        <f>'Price Table 8 CS'!U74+'Price Table 8 OHB'!U74+'Price Table 8 Airbus'!U74+'Price Table 8 RUAG'!U74+'Price Table 8 Syderal'!U74+'Price Table 8 APCO'!U74+'Price Table 8 EPFL'!U74+'Price Table 8 AIUB'!U74</f>
        <v>#REF!</v>
      </c>
      <c r="V74" s="123" t="e">
        <f>'Price Table 8 CS'!V74+'Price Table 8 OHB'!V74+'Price Table 8 Airbus'!V74+'Price Table 8 RUAG'!V74+'Price Table 8 Syderal'!V74+'Price Table 8 APCO'!V74+'Price Table 8 EPFL'!V74+'Price Table 8 AIUB'!V74</f>
        <v>#REF!</v>
      </c>
      <c r="W74" s="123" t="e">
        <f>'Price Table 8 CS'!W74+'Price Table 8 OHB'!W74+'Price Table 8 Airbus'!W74+'Price Table 8 RUAG'!W74+'Price Table 8 Syderal'!W74+'Price Table 8 APCO'!W74+'Price Table 8 EPFL'!W74+'Price Table 8 AIUB'!W74</f>
        <v>#REF!</v>
      </c>
      <c r="X74" s="123" t="e">
        <f>'Price Table 8 CS'!X74+'Price Table 8 OHB'!X74+'Price Table 8 Airbus'!X74+'Price Table 8 RUAG'!X74+'Price Table 8 Syderal'!X74+'Price Table 8 APCO'!X74+'Price Table 8 EPFL'!X74+'Price Table 8 AIUB'!X74</f>
        <v>#REF!</v>
      </c>
      <c r="Y74" s="123" t="e">
        <f>'Price Table 8 CS'!Y74+'Price Table 8 OHB'!Y74+'Price Table 8 Airbus'!Y74+'Price Table 8 RUAG'!Y74+'Price Table 8 Syderal'!Y74+'Price Table 8 APCO'!Y74+'Price Table 8 EPFL'!Y74+'Price Table 8 AIUB'!Y74</f>
        <v>#REF!</v>
      </c>
      <c r="Z74" s="123" t="e">
        <f>'Price Table 8 CS'!Z74+'Price Table 8 OHB'!Z74+'Price Table 8 Airbus'!Z74+'Price Table 8 RUAG'!Z74+'Price Table 8 Syderal'!Z74+'Price Table 8 APCO'!Z74+'Price Table 8 EPFL'!Z74+'Price Table 8 AIUB'!Z74</f>
        <v>#REF!</v>
      </c>
      <c r="AA74" s="123" t="e">
        <f>'Price Table 8 CS'!AA74+'Price Table 8 OHB'!AA74+'Price Table 8 Airbus'!AA74+'Price Table 8 RUAG'!AA74+'Price Table 8 Syderal'!AA74+'Price Table 8 APCO'!AA74+'Price Table 8 EPFL'!AA74+'Price Table 8 AIUB'!AA74</f>
        <v>#REF!</v>
      </c>
      <c r="AB74" s="123" t="e">
        <f>'Price Table 8 CS'!AB74+'Price Table 8 OHB'!AB74+'Price Table 8 Airbus'!AB74+'Price Table 8 RUAG'!AB74+'Price Table 8 Syderal'!AB74+'Price Table 8 APCO'!AB74+'Price Table 8 EPFL'!AB74+'Price Table 8 AIUB'!AB74</f>
        <v>#REF!</v>
      </c>
      <c r="AC74" s="123" t="e">
        <f>'Price Table 8 CS'!AC74+'Price Table 8 OHB'!AC74+'Price Table 8 Airbus'!AC74+'Price Table 8 RUAG'!AC74+'Price Table 8 Syderal'!AC74+'Price Table 8 APCO'!AC74+'Price Table 8 EPFL'!AC74+'Price Table 8 AIUB'!AC74</f>
        <v>#REF!</v>
      </c>
      <c r="AD74" s="123" t="e">
        <f>'Price Table 8 CS'!AD74+'Price Table 8 OHB'!AD74+'Price Table 8 Airbus'!AD74+'Price Table 8 RUAG'!AD74+'Price Table 8 Syderal'!AD74+'Price Table 8 APCO'!AD74+'Price Table 8 EPFL'!AD74+'Price Table 8 AIUB'!AD74</f>
        <v>#REF!</v>
      </c>
      <c r="AE74" s="123" t="e">
        <f>'Price Table 8 CS'!AE74+'Price Table 8 OHB'!AE74+'Price Table 8 Airbus'!AE74+'Price Table 8 RUAG'!AE74+'Price Table 8 Syderal'!AE74+'Price Table 8 APCO'!AE74+'Price Table 8 EPFL'!AE74+'Price Table 8 AIUB'!AE74</f>
        <v>#REF!</v>
      </c>
      <c r="AF74" s="123" t="e">
        <f>'Price Table 8 CS'!AF74+'Price Table 8 OHB'!AF74+'Price Table 8 Airbus'!AF74+'Price Table 8 RUAG'!AF74+'Price Table 8 Syderal'!AF74+'Price Table 8 APCO'!AF74+'Price Table 8 EPFL'!AF74+'Price Table 8 AIUB'!AF74</f>
        <v>#REF!</v>
      </c>
      <c r="AG74" s="123" t="e">
        <f>'Price Table 8 CS'!AG74+'Price Table 8 OHB'!AG74+'Price Table 8 Airbus'!AG74+'Price Table 8 RUAG'!AG74+'Price Table 8 Syderal'!AG74+'Price Table 8 APCO'!AG74+'Price Table 8 EPFL'!AG74+'Price Table 8 AIUB'!AG74</f>
        <v>#REF!</v>
      </c>
      <c r="AH74" s="124" t="e">
        <f t="shared" ref="AH74:AH80" si="2">SUM(J74:AG74)</f>
        <v>#REF!</v>
      </c>
    </row>
    <row r="75" spans="1:37">
      <c r="A75" t="s">
        <v>434</v>
      </c>
      <c r="B75" s="322" t="s">
        <v>923</v>
      </c>
      <c r="C75" s="5"/>
      <c r="D75" s="316"/>
      <c r="E75" s="37" t="s">
        <v>14</v>
      </c>
      <c r="F75" s="36" t="s">
        <v>13</v>
      </c>
      <c r="G75" s="36" t="str">
        <f>CONCATENATE(E75,F75)</f>
        <v>MISSIONManpower</v>
      </c>
      <c r="H75" s="60" t="s">
        <v>628</v>
      </c>
      <c r="J75" s="123" t="e">
        <f>'Price Table 8 CS'!J75+'Price Table 8 OHB'!J75+'Price Table 8 Airbus'!J75+'Price Table 8 RUAG'!J75+'Price Table 8 Syderal'!J75+'Price Table 8 APCO'!J75+'Price Table 8 EPFL'!J75+'Price Table 8 AIUB'!J75</f>
        <v>#REF!</v>
      </c>
      <c r="K75" s="123" t="e">
        <f>'Price Table 8 CS'!K75+'Price Table 8 OHB'!K75+'Price Table 8 Airbus'!K75+'Price Table 8 RUAG'!K75+'Price Table 8 Syderal'!K75+'Price Table 8 APCO'!K75+'Price Table 8 EPFL'!K75+'Price Table 8 AIUB'!K75</f>
        <v>#REF!</v>
      </c>
      <c r="L75" s="123" t="e">
        <f>'Price Table 8 CS'!L75+'Price Table 8 OHB'!L75+'Price Table 8 Airbus'!L75+'Price Table 8 RUAG'!L75+'Price Table 8 Syderal'!L75+'Price Table 8 APCO'!L75+'Price Table 8 EPFL'!L75+'Price Table 8 AIUB'!L75</f>
        <v>#REF!</v>
      </c>
      <c r="M75" s="123" t="e">
        <f>'Price Table 8 CS'!M75+'Price Table 8 OHB'!M75+'Price Table 8 Airbus'!M75+'Price Table 8 RUAG'!M75+'Price Table 8 Syderal'!M75+'Price Table 8 APCO'!M75+'Price Table 8 EPFL'!M75+'Price Table 8 AIUB'!M75</f>
        <v>#REF!</v>
      </c>
      <c r="N75" s="123" t="e">
        <f>'Price Table 8 CS'!N75+'Price Table 8 OHB'!N75+'Price Table 8 Airbus'!N75+'Price Table 8 RUAG'!N75+'Price Table 8 Syderal'!N75+'Price Table 8 APCO'!N75+'Price Table 8 EPFL'!N75+'Price Table 8 AIUB'!N75</f>
        <v>#REF!</v>
      </c>
      <c r="O75" s="123" t="e">
        <f>'Price Table 8 CS'!O75+'Price Table 8 OHB'!O75+'Price Table 8 Airbus'!O75+'Price Table 8 RUAG'!O75+'Price Table 8 Syderal'!O75+'Price Table 8 APCO'!O75+'Price Table 8 EPFL'!O75+'Price Table 8 AIUB'!O75</f>
        <v>#REF!</v>
      </c>
      <c r="P75" s="123" t="e">
        <f>'Price Table 8 CS'!P75+'Price Table 8 OHB'!P75+'Price Table 8 Airbus'!P75+'Price Table 8 RUAG'!P75+'Price Table 8 Syderal'!P75+'Price Table 8 APCO'!P75+'Price Table 8 EPFL'!P75+'Price Table 8 AIUB'!P75</f>
        <v>#REF!</v>
      </c>
      <c r="Q75" s="123" t="e">
        <f>'Price Table 8 CS'!Q75+'Price Table 8 OHB'!Q75+'Price Table 8 Airbus'!Q75+'Price Table 8 RUAG'!Q75+'Price Table 8 Syderal'!Q75+'Price Table 8 APCO'!Q75+'Price Table 8 EPFL'!Q75+'Price Table 8 AIUB'!Q75</f>
        <v>#REF!</v>
      </c>
      <c r="R75" s="123" t="e">
        <f>'Price Table 8 CS'!R75+'Price Table 8 OHB'!R75+'Price Table 8 Airbus'!R75+'Price Table 8 RUAG'!R75+'Price Table 8 Syderal'!R75+'Price Table 8 APCO'!R75+'Price Table 8 EPFL'!R75+'Price Table 8 AIUB'!R75</f>
        <v>#REF!</v>
      </c>
      <c r="S75" s="123" t="e">
        <f>'Price Table 8 CS'!S75+'Price Table 8 OHB'!S75+'Price Table 8 Airbus'!S75+'Price Table 8 RUAG'!S75+'Price Table 8 Syderal'!S75+'Price Table 8 APCO'!S75+'Price Table 8 EPFL'!S75+'Price Table 8 AIUB'!S75</f>
        <v>#REF!</v>
      </c>
      <c r="T75" s="123" t="e">
        <f>'Price Table 8 CS'!T75+'Price Table 8 OHB'!T75+'Price Table 8 Airbus'!T75+'Price Table 8 RUAG'!T75+'Price Table 8 Syderal'!T75+'Price Table 8 APCO'!T75+'Price Table 8 EPFL'!T75+'Price Table 8 AIUB'!T75</f>
        <v>#REF!</v>
      </c>
      <c r="U75" s="123" t="e">
        <f>'Price Table 8 CS'!U75+'Price Table 8 OHB'!U75+'Price Table 8 Airbus'!U75+'Price Table 8 RUAG'!U75+'Price Table 8 Syderal'!U75+'Price Table 8 APCO'!U75+'Price Table 8 EPFL'!U75+'Price Table 8 AIUB'!U75</f>
        <v>#REF!</v>
      </c>
      <c r="V75" s="123" t="e">
        <f>'Price Table 8 CS'!V75+'Price Table 8 OHB'!V75+'Price Table 8 Airbus'!V75+'Price Table 8 RUAG'!V75+'Price Table 8 Syderal'!V75+'Price Table 8 APCO'!V75+'Price Table 8 EPFL'!V75+'Price Table 8 AIUB'!V75</f>
        <v>#REF!</v>
      </c>
      <c r="W75" s="123" t="e">
        <f>'Price Table 8 CS'!W75+'Price Table 8 OHB'!W75+'Price Table 8 Airbus'!W75+'Price Table 8 RUAG'!W75+'Price Table 8 Syderal'!W75+'Price Table 8 APCO'!W75+'Price Table 8 EPFL'!W75+'Price Table 8 AIUB'!W75</f>
        <v>#REF!</v>
      </c>
      <c r="X75" s="123" t="e">
        <f>'Price Table 8 CS'!X75+'Price Table 8 OHB'!X75+'Price Table 8 Airbus'!X75+'Price Table 8 RUAG'!X75+'Price Table 8 Syderal'!X75+'Price Table 8 APCO'!X75+'Price Table 8 EPFL'!X75+'Price Table 8 AIUB'!X75</f>
        <v>#REF!</v>
      </c>
      <c r="Y75" s="123" t="e">
        <f>'Price Table 8 CS'!Y75+'Price Table 8 OHB'!Y75+'Price Table 8 Airbus'!Y75+'Price Table 8 RUAG'!Y75+'Price Table 8 Syderal'!Y75+'Price Table 8 APCO'!Y75+'Price Table 8 EPFL'!Y75+'Price Table 8 AIUB'!Y75</f>
        <v>#REF!</v>
      </c>
      <c r="Z75" s="123" t="e">
        <f>'Price Table 8 CS'!Z75+'Price Table 8 OHB'!Z75+'Price Table 8 Airbus'!Z75+'Price Table 8 RUAG'!Z75+'Price Table 8 Syderal'!Z75+'Price Table 8 APCO'!Z75+'Price Table 8 EPFL'!Z75+'Price Table 8 AIUB'!Z75</f>
        <v>#REF!</v>
      </c>
      <c r="AA75" s="123" t="e">
        <f>'Price Table 8 CS'!AA75+'Price Table 8 OHB'!AA75+'Price Table 8 Airbus'!AA75+'Price Table 8 RUAG'!AA75+'Price Table 8 Syderal'!AA75+'Price Table 8 APCO'!AA75+'Price Table 8 EPFL'!AA75+'Price Table 8 AIUB'!AA75</f>
        <v>#REF!</v>
      </c>
      <c r="AB75" s="123" t="e">
        <f>'Price Table 8 CS'!AB75+'Price Table 8 OHB'!AB75+'Price Table 8 Airbus'!AB75+'Price Table 8 RUAG'!AB75+'Price Table 8 Syderal'!AB75+'Price Table 8 APCO'!AB75+'Price Table 8 EPFL'!AB75+'Price Table 8 AIUB'!AB75</f>
        <v>#REF!</v>
      </c>
      <c r="AC75" s="123" t="e">
        <f>'Price Table 8 CS'!AC75+'Price Table 8 OHB'!AC75+'Price Table 8 Airbus'!AC75+'Price Table 8 RUAG'!AC75+'Price Table 8 Syderal'!AC75+'Price Table 8 APCO'!AC75+'Price Table 8 EPFL'!AC75+'Price Table 8 AIUB'!AC75</f>
        <v>#REF!</v>
      </c>
      <c r="AD75" s="123" t="e">
        <f>'Price Table 8 CS'!AD75+'Price Table 8 OHB'!AD75+'Price Table 8 Airbus'!AD75+'Price Table 8 RUAG'!AD75+'Price Table 8 Syderal'!AD75+'Price Table 8 APCO'!AD75+'Price Table 8 EPFL'!AD75+'Price Table 8 AIUB'!AD75</f>
        <v>#REF!</v>
      </c>
      <c r="AE75" s="123" t="e">
        <f>'Price Table 8 CS'!AE75+'Price Table 8 OHB'!AE75+'Price Table 8 Airbus'!AE75+'Price Table 8 RUAG'!AE75+'Price Table 8 Syderal'!AE75+'Price Table 8 APCO'!AE75+'Price Table 8 EPFL'!AE75+'Price Table 8 AIUB'!AE75</f>
        <v>#REF!</v>
      </c>
      <c r="AF75" s="123" t="e">
        <f>'Price Table 8 CS'!AF75+'Price Table 8 OHB'!AF75+'Price Table 8 Airbus'!AF75+'Price Table 8 RUAG'!AF75+'Price Table 8 Syderal'!AF75+'Price Table 8 APCO'!AF75+'Price Table 8 EPFL'!AF75+'Price Table 8 AIUB'!AF75</f>
        <v>#REF!</v>
      </c>
      <c r="AG75" s="123" t="e">
        <f>'Price Table 8 CS'!AG75+'Price Table 8 OHB'!AG75+'Price Table 8 Airbus'!AG75+'Price Table 8 RUAG'!AG75+'Price Table 8 Syderal'!AG75+'Price Table 8 APCO'!AG75+'Price Table 8 EPFL'!AG75+'Price Table 8 AIUB'!AG75</f>
        <v>#REF!</v>
      </c>
      <c r="AH75" s="124" t="e">
        <f t="shared" si="2"/>
        <v>#REF!</v>
      </c>
    </row>
    <row r="76" spans="1:37">
      <c r="A76" t="s">
        <v>427</v>
      </c>
      <c r="B76" s="322" t="s">
        <v>629</v>
      </c>
      <c r="C76" s="5"/>
      <c r="D76" s="316"/>
      <c r="E76" s="36" t="s">
        <v>139</v>
      </c>
      <c r="F76" s="36" t="s">
        <v>13</v>
      </c>
      <c r="G76" s="36" t="str">
        <f>CONCATENATE(E76,F76)</f>
        <v>TECHManpower</v>
      </c>
      <c r="H76" s="16">
        <v>650000</v>
      </c>
      <c r="J76" s="123" t="e">
        <f>'Price Table 8 CS'!J76+'Price Table 8 OHB'!J76+'Price Table 8 Airbus'!J76+'Price Table 8 RUAG'!J76+'Price Table 8 Syderal'!J76+'Price Table 8 APCO'!J76+'Price Table 8 EPFL'!J76+'Price Table 8 AIUB'!J76</f>
        <v>#REF!</v>
      </c>
      <c r="K76" s="123" t="e">
        <f>'Price Table 8 CS'!K76+'Price Table 8 OHB'!K76+'Price Table 8 Airbus'!K76+'Price Table 8 RUAG'!K76+'Price Table 8 Syderal'!K76+'Price Table 8 APCO'!K76+'Price Table 8 EPFL'!K76+'Price Table 8 AIUB'!K76</f>
        <v>#REF!</v>
      </c>
      <c r="L76" s="123" t="e">
        <f>'Price Table 8 CS'!L76+'Price Table 8 OHB'!L76+'Price Table 8 Airbus'!L76+'Price Table 8 RUAG'!L76+'Price Table 8 Syderal'!L76+'Price Table 8 APCO'!L76+'Price Table 8 EPFL'!L76+'Price Table 8 AIUB'!L76</f>
        <v>#REF!</v>
      </c>
      <c r="M76" s="123" t="e">
        <f>'Price Table 8 CS'!M76+'Price Table 8 OHB'!M76+'Price Table 8 Airbus'!M76+'Price Table 8 RUAG'!M76+'Price Table 8 Syderal'!M76+'Price Table 8 APCO'!M76+'Price Table 8 EPFL'!M76+'Price Table 8 AIUB'!M76</f>
        <v>#REF!</v>
      </c>
      <c r="N76" s="123" t="e">
        <f>'Price Table 8 CS'!N76+'Price Table 8 OHB'!N76+'Price Table 8 Airbus'!N76+'Price Table 8 RUAG'!N76+'Price Table 8 Syderal'!N76+'Price Table 8 APCO'!N76+'Price Table 8 EPFL'!N76+'Price Table 8 AIUB'!N76</f>
        <v>#REF!</v>
      </c>
      <c r="O76" s="123" t="e">
        <f>'Price Table 8 CS'!O76+'Price Table 8 OHB'!O76+'Price Table 8 Airbus'!O76+'Price Table 8 RUAG'!O76+'Price Table 8 Syderal'!O76+'Price Table 8 APCO'!O76+'Price Table 8 EPFL'!O76+'Price Table 8 AIUB'!O76</f>
        <v>#REF!</v>
      </c>
      <c r="P76" s="123" t="e">
        <f>'Price Table 8 CS'!P76+'Price Table 8 OHB'!P76+'Price Table 8 Airbus'!P76+'Price Table 8 RUAG'!P76+'Price Table 8 Syderal'!P76+'Price Table 8 APCO'!P76+'Price Table 8 EPFL'!P76+'Price Table 8 AIUB'!P76</f>
        <v>#REF!</v>
      </c>
      <c r="Q76" s="123" t="e">
        <f>'Price Table 8 CS'!Q76+'Price Table 8 OHB'!Q76+'Price Table 8 Airbus'!Q76+'Price Table 8 RUAG'!Q76+'Price Table 8 Syderal'!Q76+'Price Table 8 APCO'!Q76+'Price Table 8 EPFL'!Q76+'Price Table 8 AIUB'!Q76</f>
        <v>#REF!</v>
      </c>
      <c r="R76" s="123" t="e">
        <f>'Price Table 8 CS'!R76+'Price Table 8 OHB'!R76+'Price Table 8 Airbus'!R76+'Price Table 8 RUAG'!R76+'Price Table 8 Syderal'!R76+'Price Table 8 APCO'!R76+'Price Table 8 EPFL'!R76+'Price Table 8 AIUB'!R76</f>
        <v>#REF!</v>
      </c>
      <c r="S76" s="123" t="e">
        <f>'Price Table 8 CS'!S76+'Price Table 8 OHB'!S76+'Price Table 8 Airbus'!S76+'Price Table 8 RUAG'!S76+'Price Table 8 Syderal'!S76+'Price Table 8 APCO'!S76+'Price Table 8 EPFL'!S76+'Price Table 8 AIUB'!S76</f>
        <v>#REF!</v>
      </c>
      <c r="T76" s="123" t="e">
        <f>'Price Table 8 CS'!T76+'Price Table 8 OHB'!T76+'Price Table 8 Airbus'!T76+'Price Table 8 RUAG'!T76+'Price Table 8 Syderal'!T76+'Price Table 8 APCO'!T76+'Price Table 8 EPFL'!T76+'Price Table 8 AIUB'!T76</f>
        <v>#REF!</v>
      </c>
      <c r="U76" s="123" t="e">
        <f>'Price Table 8 CS'!U76+'Price Table 8 OHB'!U76+'Price Table 8 Airbus'!U76+'Price Table 8 RUAG'!U76+'Price Table 8 Syderal'!U76+'Price Table 8 APCO'!U76+'Price Table 8 EPFL'!U76+'Price Table 8 AIUB'!U76</f>
        <v>#REF!</v>
      </c>
      <c r="V76" s="123" t="e">
        <f>'Price Table 8 CS'!V76+'Price Table 8 OHB'!V76+'Price Table 8 Airbus'!V76+'Price Table 8 RUAG'!V76+'Price Table 8 Syderal'!V76+'Price Table 8 APCO'!V76+'Price Table 8 EPFL'!V76+'Price Table 8 AIUB'!V76</f>
        <v>#REF!</v>
      </c>
      <c r="W76" s="123" t="e">
        <f>'Price Table 8 CS'!W76+'Price Table 8 OHB'!W76+'Price Table 8 Airbus'!W76+'Price Table 8 RUAG'!W76+'Price Table 8 Syderal'!W76+'Price Table 8 APCO'!W76+'Price Table 8 EPFL'!W76+'Price Table 8 AIUB'!W76</f>
        <v>#REF!</v>
      </c>
      <c r="X76" s="123" t="e">
        <f>'Price Table 8 CS'!X76+'Price Table 8 OHB'!X76+'Price Table 8 Airbus'!X76+'Price Table 8 RUAG'!X76+'Price Table 8 Syderal'!X76+'Price Table 8 APCO'!X76+'Price Table 8 EPFL'!X76+'Price Table 8 AIUB'!X76</f>
        <v>#REF!</v>
      </c>
      <c r="Y76" s="123" t="e">
        <f>'Price Table 8 CS'!Y76+'Price Table 8 OHB'!Y76+'Price Table 8 Airbus'!Y76+'Price Table 8 RUAG'!Y76+'Price Table 8 Syderal'!Y76+'Price Table 8 APCO'!Y76+'Price Table 8 EPFL'!Y76+'Price Table 8 AIUB'!Y76</f>
        <v>#REF!</v>
      </c>
      <c r="Z76" s="123" t="e">
        <f>'Price Table 8 CS'!Z76+'Price Table 8 OHB'!Z76+'Price Table 8 Airbus'!Z76+'Price Table 8 RUAG'!Z76+'Price Table 8 Syderal'!Z76+'Price Table 8 APCO'!Z76+'Price Table 8 EPFL'!Z76+'Price Table 8 AIUB'!Z76</f>
        <v>#REF!</v>
      </c>
      <c r="AA76" s="123" t="e">
        <f>'Price Table 8 CS'!AA76+'Price Table 8 OHB'!AA76+'Price Table 8 Airbus'!AA76+'Price Table 8 RUAG'!AA76+'Price Table 8 Syderal'!AA76+'Price Table 8 APCO'!AA76+'Price Table 8 EPFL'!AA76+'Price Table 8 AIUB'!AA76</f>
        <v>#REF!</v>
      </c>
      <c r="AB76" s="123" t="e">
        <f>'Price Table 8 CS'!AB76+'Price Table 8 OHB'!AB76+'Price Table 8 Airbus'!AB76+'Price Table 8 RUAG'!AB76+'Price Table 8 Syderal'!AB76+'Price Table 8 APCO'!AB76+'Price Table 8 EPFL'!AB76+'Price Table 8 AIUB'!AB76</f>
        <v>#REF!</v>
      </c>
      <c r="AC76" s="123" t="e">
        <f>'Price Table 8 CS'!AC76+'Price Table 8 OHB'!AC76+'Price Table 8 Airbus'!AC76+'Price Table 8 RUAG'!AC76+'Price Table 8 Syderal'!AC76+'Price Table 8 APCO'!AC76+'Price Table 8 EPFL'!AC76+'Price Table 8 AIUB'!AC76</f>
        <v>#REF!</v>
      </c>
      <c r="AD76" s="123" t="e">
        <f>'Price Table 8 CS'!AD76+'Price Table 8 OHB'!AD76+'Price Table 8 Airbus'!AD76+'Price Table 8 RUAG'!AD76+'Price Table 8 Syderal'!AD76+'Price Table 8 APCO'!AD76+'Price Table 8 EPFL'!AD76+'Price Table 8 AIUB'!AD76</f>
        <v>#REF!</v>
      </c>
      <c r="AE76" s="123" t="e">
        <f>'Price Table 8 CS'!AE76+'Price Table 8 OHB'!AE76+'Price Table 8 Airbus'!AE76+'Price Table 8 RUAG'!AE76+'Price Table 8 Syderal'!AE76+'Price Table 8 APCO'!AE76+'Price Table 8 EPFL'!AE76+'Price Table 8 AIUB'!AE76</f>
        <v>#REF!</v>
      </c>
      <c r="AF76" s="123" t="e">
        <f>'Price Table 8 CS'!AF76+'Price Table 8 OHB'!AF76+'Price Table 8 Airbus'!AF76+'Price Table 8 RUAG'!AF76+'Price Table 8 Syderal'!AF76+'Price Table 8 APCO'!AF76+'Price Table 8 EPFL'!AF76+'Price Table 8 AIUB'!AF76</f>
        <v>#REF!</v>
      </c>
      <c r="AG76" s="123" t="e">
        <f>'Price Table 8 CS'!AG76+'Price Table 8 OHB'!AG76+'Price Table 8 Airbus'!AG76+'Price Table 8 RUAG'!AG76+'Price Table 8 Syderal'!AG76+'Price Table 8 APCO'!AG76+'Price Table 8 EPFL'!AG76+'Price Table 8 AIUB'!AG76</f>
        <v>#REF!</v>
      </c>
      <c r="AH76" s="124" t="e">
        <f t="shared" si="2"/>
        <v>#REF!</v>
      </c>
    </row>
    <row r="77" spans="1:37">
      <c r="A77" t="s">
        <v>396</v>
      </c>
      <c r="B77" s="322" t="s">
        <v>630</v>
      </c>
      <c r="C77" s="5"/>
      <c r="D77" s="316"/>
      <c r="E77" s="37" t="s">
        <v>14</v>
      </c>
      <c r="F77" s="37" t="s">
        <v>117</v>
      </c>
      <c r="G77" s="36" t="str">
        <f>CONCATENATE(E77,F77)</f>
        <v>MISSIONProcurement</v>
      </c>
      <c r="H77">
        <v>620100</v>
      </c>
      <c r="I77" s="18"/>
      <c r="J77" s="123" t="e">
        <f>'Price Table 8 CS'!J77+'Price Table 8 OHB'!J77+'Price Table 8 Airbus'!J77+'Price Table 8 RUAG'!J77+'Price Table 8 Syderal'!J77+'Price Table 8 APCO'!J77+'Price Table 8 EPFL'!J77+'Price Table 8 AIUB'!J77</f>
        <v>#REF!</v>
      </c>
      <c r="K77" s="123" t="e">
        <f>'Price Table 8 CS'!K77+'Price Table 8 OHB'!K77+'Price Table 8 Airbus'!K77+'Price Table 8 RUAG'!K77+'Price Table 8 Syderal'!K77+'Price Table 8 APCO'!K77+'Price Table 8 EPFL'!K77+'Price Table 8 AIUB'!K77</f>
        <v>#REF!</v>
      </c>
      <c r="L77" s="123" t="e">
        <f>'Price Table 8 CS'!L77+'Price Table 8 OHB'!L77+'Price Table 8 Airbus'!L77+'Price Table 8 RUAG'!L77+'Price Table 8 Syderal'!L77+'Price Table 8 APCO'!L77+'Price Table 8 EPFL'!L77+'Price Table 8 AIUB'!L77</f>
        <v>#REF!</v>
      </c>
      <c r="M77" s="123" t="e">
        <f>'Price Table 8 CS'!M77+'Price Table 8 OHB'!M77+'Price Table 8 Airbus'!M77+'Price Table 8 RUAG'!M77+'Price Table 8 Syderal'!M77+'Price Table 8 APCO'!M77+'Price Table 8 EPFL'!M77+'Price Table 8 AIUB'!M77</f>
        <v>#REF!</v>
      </c>
      <c r="N77" s="123" t="e">
        <f>'Price Table 8 CS'!N77+'Price Table 8 OHB'!N77+'Price Table 8 Airbus'!N77+'Price Table 8 RUAG'!N77+'Price Table 8 Syderal'!N77+'Price Table 8 APCO'!N77+'Price Table 8 EPFL'!N77+'Price Table 8 AIUB'!N77</f>
        <v>#REF!</v>
      </c>
      <c r="O77" s="123" t="e">
        <f>'Price Table 8 CS'!O77+'Price Table 8 OHB'!O77+'Price Table 8 Airbus'!O77+'Price Table 8 RUAG'!O77+'Price Table 8 Syderal'!O77+'Price Table 8 APCO'!O77+'Price Table 8 EPFL'!O77+'Price Table 8 AIUB'!O77</f>
        <v>#REF!</v>
      </c>
      <c r="P77" s="123" t="e">
        <f>'Price Table 8 CS'!P77+'Price Table 8 OHB'!P77+'Price Table 8 Airbus'!P77+'Price Table 8 RUAG'!P77+'Price Table 8 Syderal'!P77+'Price Table 8 APCO'!P77+'Price Table 8 EPFL'!P77+'Price Table 8 AIUB'!P77</f>
        <v>#REF!</v>
      </c>
      <c r="Q77" s="123" t="e">
        <f>'Price Table 8 CS'!Q77+'Price Table 8 OHB'!Q77+'Price Table 8 Airbus'!Q77+'Price Table 8 RUAG'!Q77+'Price Table 8 Syderal'!Q77+'Price Table 8 APCO'!Q77+'Price Table 8 EPFL'!Q77+'Price Table 8 AIUB'!Q77</f>
        <v>#REF!</v>
      </c>
      <c r="R77" s="123" t="e">
        <f>'Price Table 8 CS'!R77+'Price Table 8 OHB'!R77+'Price Table 8 Airbus'!R77+'Price Table 8 RUAG'!R77+'Price Table 8 Syderal'!R77+'Price Table 8 APCO'!R77+'Price Table 8 EPFL'!R77+'Price Table 8 AIUB'!R77</f>
        <v>#REF!</v>
      </c>
      <c r="S77" s="123" t="e">
        <f>'Price Table 8 CS'!S77+'Price Table 8 OHB'!S77+'Price Table 8 Airbus'!S77+'Price Table 8 RUAG'!S77+'Price Table 8 Syderal'!S77+'Price Table 8 APCO'!S77+'Price Table 8 EPFL'!S77+'Price Table 8 AIUB'!S77</f>
        <v>#REF!</v>
      </c>
      <c r="T77" s="123" t="e">
        <f>'Price Table 8 CS'!T77+'Price Table 8 OHB'!T77+'Price Table 8 Airbus'!T77+'Price Table 8 RUAG'!T77+'Price Table 8 Syderal'!T77+'Price Table 8 APCO'!T77+'Price Table 8 EPFL'!T77+'Price Table 8 AIUB'!T77</f>
        <v>#REF!</v>
      </c>
      <c r="U77" s="123" t="e">
        <f>'Price Table 8 CS'!U77+'Price Table 8 OHB'!U77+'Price Table 8 Airbus'!U77+'Price Table 8 RUAG'!U77+'Price Table 8 Syderal'!U77+'Price Table 8 APCO'!U77+'Price Table 8 EPFL'!U77+'Price Table 8 AIUB'!U77</f>
        <v>#REF!</v>
      </c>
      <c r="V77" s="123" t="e">
        <f>'Price Table 8 CS'!V77+'Price Table 8 OHB'!V77+'Price Table 8 Airbus'!V77+'Price Table 8 RUAG'!V77+'Price Table 8 Syderal'!V77+'Price Table 8 APCO'!V77+'Price Table 8 EPFL'!V77+'Price Table 8 AIUB'!V77</f>
        <v>#REF!</v>
      </c>
      <c r="W77" s="123" t="e">
        <f>'Price Table 8 CS'!W77+'Price Table 8 OHB'!W77+'Price Table 8 Airbus'!W77+'Price Table 8 RUAG'!W77+'Price Table 8 Syderal'!W77+'Price Table 8 APCO'!W77+'Price Table 8 EPFL'!W77+'Price Table 8 AIUB'!W77</f>
        <v>#REF!</v>
      </c>
      <c r="X77" s="123" t="e">
        <f>'Price Table 8 CS'!X77+'Price Table 8 OHB'!X77+'Price Table 8 Airbus'!X77+'Price Table 8 RUAG'!X77+'Price Table 8 Syderal'!X77+'Price Table 8 APCO'!X77+'Price Table 8 EPFL'!X77+'Price Table 8 AIUB'!X77</f>
        <v>#REF!</v>
      </c>
      <c r="Y77" s="123" t="e">
        <f>'Price Table 8 CS'!Y77+'Price Table 8 OHB'!Y77+'Price Table 8 Airbus'!Y77+'Price Table 8 RUAG'!Y77+'Price Table 8 Syderal'!Y77+'Price Table 8 APCO'!Y77+'Price Table 8 EPFL'!Y77+'Price Table 8 AIUB'!Y77</f>
        <v>#REF!</v>
      </c>
      <c r="Z77" s="123" t="e">
        <f>'Price Table 8 CS'!Z77+'Price Table 8 OHB'!Z77+'Price Table 8 Airbus'!Z77+'Price Table 8 RUAG'!Z77+'Price Table 8 Syderal'!Z77+'Price Table 8 APCO'!Z77+'Price Table 8 EPFL'!Z77+'Price Table 8 AIUB'!Z77</f>
        <v>#REF!</v>
      </c>
      <c r="AA77" s="123" t="e">
        <f>'Price Table 8 CS'!AA77+'Price Table 8 OHB'!AA77+'Price Table 8 Airbus'!AA77+'Price Table 8 RUAG'!AA77+'Price Table 8 Syderal'!AA77+'Price Table 8 APCO'!AA77+'Price Table 8 EPFL'!AA77+'Price Table 8 AIUB'!AA77</f>
        <v>#REF!</v>
      </c>
      <c r="AB77" s="123" t="e">
        <f>'Price Table 8 CS'!AB77+'Price Table 8 OHB'!AB77+'Price Table 8 Airbus'!AB77+'Price Table 8 RUAG'!AB77+'Price Table 8 Syderal'!AB77+'Price Table 8 APCO'!AB77+'Price Table 8 EPFL'!AB77+'Price Table 8 AIUB'!AB77</f>
        <v>#REF!</v>
      </c>
      <c r="AC77" s="123" t="e">
        <f>'Price Table 8 CS'!AC77+'Price Table 8 OHB'!AC77+'Price Table 8 Airbus'!AC77+'Price Table 8 RUAG'!AC77+'Price Table 8 Syderal'!AC77+'Price Table 8 APCO'!AC77+'Price Table 8 EPFL'!AC77+'Price Table 8 AIUB'!AC77</f>
        <v>#REF!</v>
      </c>
      <c r="AD77" s="123" t="e">
        <f>'Price Table 8 CS'!AD77+'Price Table 8 OHB'!AD77+'Price Table 8 Airbus'!AD77+'Price Table 8 RUAG'!AD77+'Price Table 8 Syderal'!AD77+'Price Table 8 APCO'!AD77+'Price Table 8 EPFL'!AD77+'Price Table 8 AIUB'!AD77</f>
        <v>#REF!</v>
      </c>
      <c r="AE77" s="123" t="e">
        <f>'Price Table 8 CS'!AE77+'Price Table 8 OHB'!AE77+'Price Table 8 Airbus'!AE77+'Price Table 8 RUAG'!AE77+'Price Table 8 Syderal'!AE77+'Price Table 8 APCO'!AE77+'Price Table 8 EPFL'!AE77+'Price Table 8 AIUB'!AE77</f>
        <v>#REF!</v>
      </c>
      <c r="AF77" s="123" t="e">
        <f>'Price Table 8 CS'!AF77+'Price Table 8 OHB'!AF77+'Price Table 8 Airbus'!AF77+'Price Table 8 RUAG'!AF77+'Price Table 8 Syderal'!AF77+'Price Table 8 APCO'!AF77+'Price Table 8 EPFL'!AF77+'Price Table 8 AIUB'!AF77</f>
        <v>#REF!</v>
      </c>
      <c r="AG77" s="123" t="e">
        <f>'Price Table 8 CS'!AG77+'Price Table 8 OHB'!AG77+'Price Table 8 Airbus'!AG77+'Price Table 8 RUAG'!AG77+'Price Table 8 Syderal'!AG77+'Price Table 8 APCO'!AG77+'Price Table 8 EPFL'!AG77+'Price Table 8 AIUB'!AG77</f>
        <v>#REF!</v>
      </c>
      <c r="AH77" s="124" t="e">
        <f t="shared" si="2"/>
        <v>#REF!</v>
      </c>
    </row>
    <row r="78" spans="1:37" ht="15.75" thickBot="1">
      <c r="A78" t="s">
        <v>631</v>
      </c>
      <c r="B78" s="317" t="s">
        <v>632</v>
      </c>
      <c r="C78" s="318"/>
      <c r="D78" s="319"/>
      <c r="E78" s="37" t="s">
        <v>14</v>
      </c>
      <c r="F78" s="36" t="s">
        <v>117</v>
      </c>
      <c r="G78" s="36" t="str">
        <f>CONCATENATE(E78,F78)</f>
        <v>MISSIONProcurement</v>
      </c>
      <c r="H78">
        <v>620100</v>
      </c>
      <c r="J78" s="123" t="e">
        <f>'Price Table 8 CS'!J78+'Price Table 8 OHB'!J78+'Price Table 8 Airbus'!J78+'Price Table 8 RUAG'!J78+'Price Table 8 Syderal'!J78+'Price Table 8 APCO'!J78+'Price Table 8 EPFL'!J78+'Price Table 8 AIUB'!J78</f>
        <v>#REF!</v>
      </c>
      <c r="K78" s="123" t="e">
        <f>'Price Table 8 CS'!K78+'Price Table 8 OHB'!K78+'Price Table 8 Airbus'!K78+'Price Table 8 RUAG'!K78+'Price Table 8 Syderal'!K78+'Price Table 8 APCO'!K78+'Price Table 8 EPFL'!K78+'Price Table 8 AIUB'!K78</f>
        <v>#REF!</v>
      </c>
      <c r="L78" s="123" t="e">
        <f>'Price Table 8 CS'!L78+'Price Table 8 OHB'!L78+'Price Table 8 Airbus'!L78+'Price Table 8 RUAG'!L78+'Price Table 8 Syderal'!L78+'Price Table 8 APCO'!L78+'Price Table 8 EPFL'!L78+'Price Table 8 AIUB'!L78</f>
        <v>#REF!</v>
      </c>
      <c r="M78" s="123" t="e">
        <f>'Price Table 8 CS'!M78+'Price Table 8 OHB'!M78+'Price Table 8 Airbus'!M78+'Price Table 8 RUAG'!M78+'Price Table 8 Syderal'!M78+'Price Table 8 APCO'!M78+'Price Table 8 EPFL'!M78+'Price Table 8 AIUB'!M78</f>
        <v>#REF!</v>
      </c>
      <c r="N78" s="123" t="e">
        <f>'Price Table 8 CS'!N78+'Price Table 8 OHB'!N78+'Price Table 8 Airbus'!N78+'Price Table 8 RUAG'!N78+'Price Table 8 Syderal'!N78+'Price Table 8 APCO'!N78+'Price Table 8 EPFL'!N78+'Price Table 8 AIUB'!N78</f>
        <v>#REF!</v>
      </c>
      <c r="O78" s="123" t="e">
        <f>'Price Table 8 CS'!O78+'Price Table 8 OHB'!O78+'Price Table 8 Airbus'!O78+'Price Table 8 RUAG'!O78+'Price Table 8 Syderal'!O78+'Price Table 8 APCO'!O78+'Price Table 8 EPFL'!O78+'Price Table 8 AIUB'!O78</f>
        <v>#REF!</v>
      </c>
      <c r="P78" s="123" t="e">
        <f>'Price Table 8 CS'!P78+'Price Table 8 OHB'!P78+'Price Table 8 Airbus'!P78+'Price Table 8 RUAG'!P78+'Price Table 8 Syderal'!P78+'Price Table 8 APCO'!P78+'Price Table 8 EPFL'!P78+'Price Table 8 AIUB'!P78</f>
        <v>#REF!</v>
      </c>
      <c r="Q78" s="123" t="e">
        <f>'Price Table 8 CS'!Q78+'Price Table 8 OHB'!Q78+'Price Table 8 Airbus'!Q78+'Price Table 8 RUAG'!Q78+'Price Table 8 Syderal'!Q78+'Price Table 8 APCO'!Q78+'Price Table 8 EPFL'!Q78+'Price Table 8 AIUB'!Q78</f>
        <v>#REF!</v>
      </c>
      <c r="R78" s="123" t="e">
        <f>'Price Table 8 CS'!R78+'Price Table 8 OHB'!R78+'Price Table 8 Airbus'!R78+'Price Table 8 RUAG'!R78+'Price Table 8 Syderal'!R78+'Price Table 8 APCO'!R78+'Price Table 8 EPFL'!R78+'Price Table 8 AIUB'!R78</f>
        <v>#REF!</v>
      </c>
      <c r="S78" s="123" t="e">
        <f>'Price Table 8 CS'!S78+'Price Table 8 OHB'!S78+'Price Table 8 Airbus'!S78+'Price Table 8 RUAG'!S78+'Price Table 8 Syderal'!S78+'Price Table 8 APCO'!S78+'Price Table 8 EPFL'!S78+'Price Table 8 AIUB'!S78</f>
        <v>#REF!</v>
      </c>
      <c r="T78" s="123" t="e">
        <f>'Price Table 8 CS'!T78+'Price Table 8 OHB'!T78+'Price Table 8 Airbus'!T78+'Price Table 8 RUAG'!T78+'Price Table 8 Syderal'!T78+'Price Table 8 APCO'!T78+'Price Table 8 EPFL'!T78+'Price Table 8 AIUB'!T78</f>
        <v>#REF!</v>
      </c>
      <c r="U78" s="123" t="e">
        <f>'Price Table 8 CS'!U78+'Price Table 8 OHB'!U78+'Price Table 8 Airbus'!U78+'Price Table 8 RUAG'!U78+'Price Table 8 Syderal'!U78+'Price Table 8 APCO'!U78+'Price Table 8 EPFL'!U78+'Price Table 8 AIUB'!U78</f>
        <v>#REF!</v>
      </c>
      <c r="V78" s="123" t="e">
        <f>'Price Table 8 CS'!V78+'Price Table 8 OHB'!V78+'Price Table 8 Airbus'!V78+'Price Table 8 RUAG'!V78+'Price Table 8 Syderal'!V78+'Price Table 8 APCO'!V78+'Price Table 8 EPFL'!V78+'Price Table 8 AIUB'!V78</f>
        <v>#REF!</v>
      </c>
      <c r="W78" s="123" t="e">
        <f>'Price Table 8 CS'!W78+'Price Table 8 OHB'!W78+'Price Table 8 Airbus'!W78+'Price Table 8 RUAG'!W78+'Price Table 8 Syderal'!W78+'Price Table 8 APCO'!W78+'Price Table 8 EPFL'!W78+'Price Table 8 AIUB'!W78</f>
        <v>#REF!</v>
      </c>
      <c r="X78" s="123" t="e">
        <f>'Price Table 8 CS'!X78+'Price Table 8 OHB'!X78+'Price Table 8 Airbus'!X78+'Price Table 8 RUAG'!X78+'Price Table 8 Syderal'!X78+'Price Table 8 APCO'!X78+'Price Table 8 EPFL'!X78+'Price Table 8 AIUB'!X78</f>
        <v>#REF!</v>
      </c>
      <c r="Y78" s="123" t="e">
        <f>'Price Table 8 CS'!Y78+'Price Table 8 OHB'!Y78+'Price Table 8 Airbus'!Y78+'Price Table 8 RUAG'!Y78+'Price Table 8 Syderal'!Y78+'Price Table 8 APCO'!Y78+'Price Table 8 EPFL'!Y78+'Price Table 8 AIUB'!Y78</f>
        <v>#REF!</v>
      </c>
      <c r="Z78" s="123" t="e">
        <f>'Price Table 8 CS'!Z78+'Price Table 8 OHB'!Z78+'Price Table 8 Airbus'!Z78+'Price Table 8 RUAG'!Z78+'Price Table 8 Syderal'!Z78+'Price Table 8 APCO'!Z78+'Price Table 8 EPFL'!Z78+'Price Table 8 AIUB'!Z78</f>
        <v>#REF!</v>
      </c>
      <c r="AA78" s="123" t="e">
        <f>'Price Table 8 CS'!AA78+'Price Table 8 OHB'!AA78+'Price Table 8 Airbus'!AA78+'Price Table 8 RUAG'!AA78+'Price Table 8 Syderal'!AA78+'Price Table 8 APCO'!AA78+'Price Table 8 EPFL'!AA78+'Price Table 8 AIUB'!AA78</f>
        <v>#REF!</v>
      </c>
      <c r="AB78" s="123" t="e">
        <f>'Price Table 8 CS'!AB78+'Price Table 8 OHB'!AB78+'Price Table 8 Airbus'!AB78+'Price Table 8 RUAG'!AB78+'Price Table 8 Syderal'!AB78+'Price Table 8 APCO'!AB78+'Price Table 8 EPFL'!AB78+'Price Table 8 AIUB'!AB78</f>
        <v>#REF!</v>
      </c>
      <c r="AC78" s="123" t="e">
        <f>'Price Table 8 CS'!AC78+'Price Table 8 OHB'!AC78+'Price Table 8 Airbus'!AC78+'Price Table 8 RUAG'!AC78+'Price Table 8 Syderal'!AC78+'Price Table 8 APCO'!AC78+'Price Table 8 EPFL'!AC78+'Price Table 8 AIUB'!AC78</f>
        <v>#REF!</v>
      </c>
      <c r="AD78" s="123" t="e">
        <f>'Price Table 8 CS'!AD78+'Price Table 8 OHB'!AD78+'Price Table 8 Airbus'!AD78+'Price Table 8 RUAG'!AD78+'Price Table 8 Syderal'!AD78+'Price Table 8 APCO'!AD78+'Price Table 8 EPFL'!AD78+'Price Table 8 AIUB'!AD78</f>
        <v>#REF!</v>
      </c>
      <c r="AE78" s="123" t="e">
        <f>'Price Table 8 CS'!AE78+'Price Table 8 OHB'!AE78+'Price Table 8 Airbus'!AE78+'Price Table 8 RUAG'!AE78+'Price Table 8 Syderal'!AE78+'Price Table 8 APCO'!AE78+'Price Table 8 EPFL'!AE78+'Price Table 8 AIUB'!AE78</f>
        <v>#REF!</v>
      </c>
      <c r="AF78" s="123" t="e">
        <f>'Price Table 8 CS'!AF78+'Price Table 8 OHB'!AF78+'Price Table 8 Airbus'!AF78+'Price Table 8 RUAG'!AF78+'Price Table 8 Syderal'!AF78+'Price Table 8 APCO'!AF78+'Price Table 8 EPFL'!AF78+'Price Table 8 AIUB'!AF78</f>
        <v>#REF!</v>
      </c>
      <c r="AG78" s="123" t="e">
        <f>'Price Table 8 CS'!AG78+'Price Table 8 OHB'!AG78+'Price Table 8 Airbus'!AG78+'Price Table 8 RUAG'!AG78+'Price Table 8 Syderal'!AG78+'Price Table 8 APCO'!AG78+'Price Table 8 EPFL'!AG78+'Price Table 8 AIUB'!AG78</f>
        <v>#REF!</v>
      </c>
      <c r="AH78" s="124" t="e">
        <f t="shared" si="2"/>
        <v>#REF!</v>
      </c>
    </row>
    <row r="79" spans="1:37" ht="15.75" thickBot="1">
      <c r="E79"/>
      <c r="F79"/>
      <c r="G79"/>
      <c r="H79"/>
      <c r="AH79"/>
      <c r="AK79" s="222" t="e">
        <f>'Price Table 8 CS'!AH79+'Price Table 8 AIUB'!AH79+'Price Table 8 APCO'!AH79+'Price Table 8 EPFL'!AH79+'Price Table 8 RUAG'!AH79+'Price Table 8 Syderal'!AH79</f>
        <v>#REF!</v>
      </c>
    </row>
    <row r="80" spans="1:37" ht="15.75" thickBot="1">
      <c r="A80" t="s">
        <v>633</v>
      </c>
      <c r="B80" s="534" t="s">
        <v>465</v>
      </c>
      <c r="C80" s="535"/>
      <c r="D80" s="536"/>
      <c r="H80"/>
      <c r="J80" s="123" t="e">
        <f>'Price Table 8 CS'!J79+'Price Table 8 OHB'!J79+'Price Table 8 Airbus'!J79+'Price Table 8 RUAG'!J79+'Price Table 8 Syderal'!J79+'Price Table 8 APCO'!J79+'Price Table 8 EPFL'!J79+'Price Table 8 AIUB'!J79</f>
        <v>#REF!</v>
      </c>
      <c r="K80" s="123" t="e">
        <f>'Price Table 8 CS'!K79+'Price Table 8 OHB'!K79+'Price Table 8 Airbus'!K79+'Price Table 8 RUAG'!K79+'Price Table 8 Syderal'!K79+'Price Table 8 APCO'!K79+'Price Table 8 EPFL'!K79+'Price Table 8 AIUB'!K79</f>
        <v>#REF!</v>
      </c>
      <c r="L80" s="123" t="e">
        <f>'Price Table 8 CS'!L79+'Price Table 8 OHB'!L79+'Price Table 8 Airbus'!L79+'Price Table 8 RUAG'!L79+'Price Table 8 Syderal'!L79+'Price Table 8 APCO'!L79+'Price Table 8 EPFL'!L79+'Price Table 8 AIUB'!L79</f>
        <v>#REF!</v>
      </c>
      <c r="M80" s="123" t="e">
        <f>'Price Table 8 CS'!M79+'Price Table 8 OHB'!M79+'Price Table 8 Airbus'!M79+'Price Table 8 RUAG'!M79+'Price Table 8 Syderal'!M79+'Price Table 8 APCO'!M79+'Price Table 8 EPFL'!M79+'Price Table 8 AIUB'!M79</f>
        <v>#REF!</v>
      </c>
      <c r="N80" s="123" t="e">
        <f>'Price Table 8 CS'!N79+'Price Table 8 OHB'!N79+'Price Table 8 Airbus'!N79+'Price Table 8 RUAG'!N79+'Price Table 8 Syderal'!N79+'Price Table 8 APCO'!N79+'Price Table 8 EPFL'!N79+'Price Table 8 AIUB'!N79</f>
        <v>#REF!</v>
      </c>
      <c r="O80" s="123" t="e">
        <f>'Price Table 8 CS'!O79+'Price Table 8 OHB'!O79+'Price Table 8 Airbus'!O79+'Price Table 8 RUAG'!O79+'Price Table 8 Syderal'!O79+'Price Table 8 APCO'!O79+'Price Table 8 EPFL'!O79+'Price Table 8 AIUB'!O79+150</f>
        <v>#REF!</v>
      </c>
      <c r="P80" s="123" t="e">
        <f>'Price Table 8 CS'!P79+'Price Table 8 OHB'!P79+'Price Table 8 Airbus'!P79+'Price Table 8 RUAG'!P79+'Price Table 8 Syderal'!P79+'Price Table 8 APCO'!P79+'Price Table 8 EPFL'!P79+'Price Table 8 AIUB'!P79</f>
        <v>#REF!</v>
      </c>
      <c r="Q80" s="123" t="e">
        <f>'Price Table 8 CS'!Q79+'Price Table 8 OHB'!Q79+'Price Table 8 Airbus'!Q79+'Price Table 8 RUAG'!Q79+'Price Table 8 Syderal'!Q79+'Price Table 8 APCO'!Q79+'Price Table 8 EPFL'!Q79+'Price Table 8 AIUB'!Q79</f>
        <v>#REF!</v>
      </c>
      <c r="R80" s="123" t="e">
        <f>'Price Table 8 CS'!R79+'Price Table 8 OHB'!R79+'Price Table 8 Airbus'!R79+'Price Table 8 RUAG'!R79+'Price Table 8 Syderal'!R79+'Price Table 8 APCO'!R79+'Price Table 8 EPFL'!R79+'Price Table 8 AIUB'!R79</f>
        <v>#REF!</v>
      </c>
      <c r="S80" s="123" t="e">
        <f>'Price Table 8 CS'!S79+'Price Table 8 OHB'!S79+'Price Table 8 Airbus'!S79+'Price Table 8 RUAG'!S79+'Price Table 8 Syderal'!S79+'Price Table 8 APCO'!S79+'Price Table 8 EPFL'!S79+'Price Table 8 AIUB'!S79</f>
        <v>#REF!</v>
      </c>
      <c r="T80" s="123" t="e">
        <f>'Price Table 8 CS'!T79+'Price Table 8 OHB'!T79+'Price Table 8 Airbus'!T79+'Price Table 8 RUAG'!T79+'Price Table 8 Syderal'!T79+'Price Table 8 APCO'!T79+'Price Table 8 EPFL'!T79+'Price Table 8 AIUB'!T79</f>
        <v>#REF!</v>
      </c>
      <c r="U80" s="123" t="e">
        <f>'Price Table 8 CS'!U79+'Price Table 8 OHB'!U79+'Price Table 8 Airbus'!U79+'Price Table 8 RUAG'!U79+'Price Table 8 Syderal'!U79+'Price Table 8 APCO'!U79+'Price Table 8 EPFL'!U79+'Price Table 8 AIUB'!U79</f>
        <v>#REF!</v>
      </c>
      <c r="V80" s="123" t="e">
        <f>'Price Table 8 CS'!V79+'Price Table 8 OHB'!V79+'Price Table 8 Airbus'!V79+'Price Table 8 RUAG'!V79+'Price Table 8 Syderal'!V79+'Price Table 8 APCO'!V79+'Price Table 8 EPFL'!V79+'Price Table 8 AIUB'!V79</f>
        <v>#REF!</v>
      </c>
      <c r="W80" s="123" t="e">
        <f>'Price Table 8 CS'!W79+'Price Table 8 OHB'!W79+'Price Table 8 Airbus'!W79+'Price Table 8 RUAG'!W79+'Price Table 8 Syderal'!W79+'Price Table 8 APCO'!W79+'Price Table 8 EPFL'!W79+'Price Table 8 AIUB'!W79</f>
        <v>#REF!</v>
      </c>
      <c r="X80" s="123" t="e">
        <f>'Price Table 8 CS'!X79+'Price Table 8 OHB'!X79+'Price Table 8 Airbus'!X79+'Price Table 8 RUAG'!X79+'Price Table 8 Syderal'!X79+'Price Table 8 APCO'!X79+'Price Table 8 EPFL'!X79+'Price Table 8 AIUB'!X79</f>
        <v>#REF!</v>
      </c>
      <c r="Y80" s="123" t="e">
        <f>'Price Table 8 CS'!Y79+'Price Table 8 OHB'!Y79+'Price Table 8 Airbus'!Y79+'Price Table 8 RUAG'!Y79+'Price Table 8 Syderal'!Y79+'Price Table 8 APCO'!Y79+'Price Table 8 EPFL'!Y79+'Price Table 8 AIUB'!Y79+1200</f>
        <v>#REF!</v>
      </c>
      <c r="Z80" s="123" t="e">
        <f>'Price Table 8 CS'!Z79+'Price Table 8 OHB'!Z79+'Price Table 8 Airbus'!Z79+'Price Table 8 RUAG'!Z79+'Price Table 8 Syderal'!Z79+'Price Table 8 APCO'!Z79+'Price Table 8 EPFL'!Z79+'Price Table 8 AIUB'!Z79</f>
        <v>#REF!</v>
      </c>
      <c r="AA80" s="123" t="e">
        <f>'Price Table 8 CS'!AA79+'Price Table 8 OHB'!AA79+'Price Table 8 Airbus'!AA79+'Price Table 8 RUAG'!AA79+'Price Table 8 Syderal'!AA79+'Price Table 8 APCO'!AA79+'Price Table 8 EPFL'!AA79+'Price Table 8 AIUB'!AA79+750</f>
        <v>#REF!</v>
      </c>
      <c r="AB80" s="123" t="e">
        <f>'Price Table 8 CS'!AB79+'Price Table 8 OHB'!AB79+'Price Table 8 Airbus'!AB79+'Price Table 8 RUAG'!AB79+'Price Table 8 Syderal'!AB79+'Price Table 8 APCO'!AB79+'Price Table 8 EPFL'!AB79+'Price Table 8 AIUB'!AB79</f>
        <v>#REF!</v>
      </c>
      <c r="AC80" s="123" t="e">
        <f>'Price Table 8 CS'!AC79+'Price Table 8 OHB'!AC79+'Price Table 8 Airbus'!AC79+'Price Table 8 RUAG'!AC79+'Price Table 8 Syderal'!AC79+'Price Table 8 APCO'!AC79+'Price Table 8 EPFL'!AC79+'Price Table 8 AIUB'!AC79+600</f>
        <v>#REF!</v>
      </c>
      <c r="AD80" s="123" t="e">
        <f>'Price Table 8 CS'!AD79+'Price Table 8 OHB'!AD79+'Price Table 8 Airbus'!AD79+'Price Table 8 RUAG'!AD79+'Price Table 8 Syderal'!AD79+'Price Table 8 APCO'!AD79+'Price Table 8 EPFL'!AD79+'Price Table 8 AIUB'!AD79+300</f>
        <v>#REF!</v>
      </c>
      <c r="AE80" s="123" t="e">
        <f>'Price Table 8 CS'!AE79+'Price Table 8 OHB'!AE79+'Price Table 8 Airbus'!AE79+'Price Table 8 RUAG'!AE79+'Price Table 8 Syderal'!AE79+'Price Table 8 APCO'!AE79+'Price Table 8 EPFL'!AE79+'Price Table 8 AIUB'!AE79</f>
        <v>#REF!</v>
      </c>
      <c r="AF80" s="123" t="e">
        <f>'Price Table 8 CS'!AF79+'Price Table 8 OHB'!AF79+'Price Table 8 Airbus'!AF79+'Price Table 8 RUAG'!AF79+'Price Table 8 Syderal'!AF79+'Price Table 8 APCO'!AF79+'Price Table 8 EPFL'!AF79+'Price Table 8 AIUB'!AF79</f>
        <v>#REF!</v>
      </c>
      <c r="AG80" s="123" t="e">
        <f>'Price Table 8 CS'!AG79+'Price Table 8 OHB'!AG79+'Price Table 8 Airbus'!AG79+'Price Table 8 RUAG'!AG79+'Price Table 8 Syderal'!AG79+'Price Table 8 APCO'!AG79+'Price Table 8 EPFL'!AG79+'Price Table 8 AIUB'!AG79</f>
        <v>#REF!</v>
      </c>
      <c r="AH80" s="124" t="e">
        <f t="shared" si="2"/>
        <v>#REF!</v>
      </c>
      <c r="AI80" s="122" t="e">
        <f>AH80/AH83</f>
        <v>#REF!</v>
      </c>
    </row>
    <row r="82" spans="2:35">
      <c r="B82" t="s">
        <v>634</v>
      </c>
      <c r="J82" s="115" t="e">
        <f>SUM(J14:J78)</f>
        <v>#REF!</v>
      </c>
      <c r="K82" s="115" t="e">
        <f t="shared" ref="K82:AG82" si="3">SUM(K14:K78)</f>
        <v>#REF!</v>
      </c>
      <c r="L82" s="115" t="e">
        <f t="shared" si="3"/>
        <v>#REF!</v>
      </c>
      <c r="M82" s="115" t="e">
        <f t="shared" si="3"/>
        <v>#REF!</v>
      </c>
      <c r="N82" s="115" t="e">
        <f t="shared" si="3"/>
        <v>#REF!</v>
      </c>
      <c r="O82" s="115" t="e">
        <f t="shared" si="3"/>
        <v>#REF!</v>
      </c>
      <c r="P82" s="115" t="e">
        <f t="shared" si="3"/>
        <v>#REF!</v>
      </c>
      <c r="Q82" s="115" t="e">
        <f t="shared" si="3"/>
        <v>#REF!</v>
      </c>
      <c r="R82" s="115" t="e">
        <f t="shared" si="3"/>
        <v>#REF!</v>
      </c>
      <c r="S82" s="115" t="e">
        <f t="shared" si="3"/>
        <v>#REF!</v>
      </c>
      <c r="T82" s="115" t="e">
        <f t="shared" si="3"/>
        <v>#REF!</v>
      </c>
      <c r="U82" s="115" t="e">
        <f t="shared" si="3"/>
        <v>#REF!</v>
      </c>
      <c r="V82" s="115" t="e">
        <f t="shared" si="3"/>
        <v>#REF!</v>
      </c>
      <c r="W82" s="115" t="e">
        <f t="shared" si="3"/>
        <v>#REF!</v>
      </c>
      <c r="X82" s="115" t="e">
        <f t="shared" si="3"/>
        <v>#REF!</v>
      </c>
      <c r="Y82" s="115" t="e">
        <f t="shared" si="3"/>
        <v>#REF!</v>
      </c>
      <c r="Z82" s="115" t="e">
        <f t="shared" si="3"/>
        <v>#REF!</v>
      </c>
      <c r="AA82" s="115" t="e">
        <f t="shared" si="3"/>
        <v>#REF!</v>
      </c>
      <c r="AB82" s="115" t="e">
        <f t="shared" si="3"/>
        <v>#REF!</v>
      </c>
      <c r="AC82" s="115" t="e">
        <f t="shared" si="3"/>
        <v>#REF!</v>
      </c>
      <c r="AD82" s="115" t="e">
        <f t="shared" si="3"/>
        <v>#REF!</v>
      </c>
      <c r="AE82" s="115" t="e">
        <f t="shared" si="3"/>
        <v>#REF!</v>
      </c>
      <c r="AF82" s="115" t="e">
        <f t="shared" si="3"/>
        <v>#REF!</v>
      </c>
      <c r="AG82" s="115" t="e">
        <f t="shared" si="3"/>
        <v>#REF!</v>
      </c>
      <c r="AH82" s="115" t="e">
        <f t="shared" ref="AH82:AH83" si="4">SUM(J82:AG82)</f>
        <v>#REF!</v>
      </c>
      <c r="AI82" s="16"/>
    </row>
    <row r="83" spans="2:35">
      <c r="B83" t="s">
        <v>635</v>
      </c>
      <c r="J83" s="115" t="e">
        <f>SUM(J80:J82)</f>
        <v>#REF!</v>
      </c>
      <c r="K83" s="115" t="e">
        <f t="shared" ref="K83:AG83" si="5">SUM(K80:K82)</f>
        <v>#REF!</v>
      </c>
      <c r="L83" s="115" t="e">
        <f t="shared" si="5"/>
        <v>#REF!</v>
      </c>
      <c r="M83" s="115" t="e">
        <f t="shared" si="5"/>
        <v>#REF!</v>
      </c>
      <c r="N83" s="115" t="e">
        <f t="shared" si="5"/>
        <v>#REF!</v>
      </c>
      <c r="O83" s="115" t="e">
        <f t="shared" si="5"/>
        <v>#REF!</v>
      </c>
      <c r="P83" s="115" t="e">
        <f t="shared" si="5"/>
        <v>#REF!</v>
      </c>
      <c r="Q83" s="115" t="e">
        <f t="shared" si="5"/>
        <v>#REF!</v>
      </c>
      <c r="R83" s="115" t="e">
        <f t="shared" si="5"/>
        <v>#REF!</v>
      </c>
      <c r="S83" s="115" t="e">
        <f t="shared" si="5"/>
        <v>#REF!</v>
      </c>
      <c r="T83" s="115" t="e">
        <f t="shared" si="5"/>
        <v>#REF!</v>
      </c>
      <c r="U83" s="115" t="e">
        <f t="shared" si="5"/>
        <v>#REF!</v>
      </c>
      <c r="V83" s="115" t="e">
        <f t="shared" si="5"/>
        <v>#REF!</v>
      </c>
      <c r="W83" s="115" t="e">
        <f t="shared" si="5"/>
        <v>#REF!</v>
      </c>
      <c r="X83" s="115" t="e">
        <f t="shared" si="5"/>
        <v>#REF!</v>
      </c>
      <c r="Y83" s="115" t="e">
        <f t="shared" si="5"/>
        <v>#REF!</v>
      </c>
      <c r="Z83" s="115" t="e">
        <f t="shared" si="5"/>
        <v>#REF!</v>
      </c>
      <c r="AA83" s="115" t="e">
        <f t="shared" si="5"/>
        <v>#REF!</v>
      </c>
      <c r="AB83" s="115" t="e">
        <f t="shared" si="5"/>
        <v>#REF!</v>
      </c>
      <c r="AC83" s="115" t="e">
        <f t="shared" si="5"/>
        <v>#REF!</v>
      </c>
      <c r="AD83" s="115" t="e">
        <f t="shared" si="5"/>
        <v>#REF!</v>
      </c>
      <c r="AE83" s="115" t="e">
        <f t="shared" si="5"/>
        <v>#REF!</v>
      </c>
      <c r="AF83" s="115" t="e">
        <f t="shared" si="5"/>
        <v>#REF!</v>
      </c>
      <c r="AG83" s="115" t="e">
        <f t="shared" si="5"/>
        <v>#REF!</v>
      </c>
      <c r="AH83" s="115" t="e">
        <f t="shared" si="4"/>
        <v>#REF!</v>
      </c>
      <c r="AI83" s="16"/>
    </row>
    <row r="84" spans="2:35" ht="15.75" thickBot="1"/>
    <row r="85" spans="2:35">
      <c r="E85" s="256" t="s">
        <v>12</v>
      </c>
      <c r="F85" s="257" t="s">
        <v>13</v>
      </c>
      <c r="G85" s="257" t="str">
        <f>CONCATENATE(E85,F85)</f>
        <v>MGTManpower</v>
      </c>
      <c r="H85" s="257"/>
      <c r="I85" s="274"/>
      <c r="J85" s="268" t="e">
        <f t="shared" ref="J85:S89" si="6">SUMIF($G$14:$G$80,$G85,J$14:J$80)</f>
        <v>#REF!</v>
      </c>
      <c r="K85" s="258" t="e">
        <f t="shared" si="6"/>
        <v>#REF!</v>
      </c>
      <c r="L85" s="258" t="e">
        <f t="shared" si="6"/>
        <v>#REF!</v>
      </c>
      <c r="M85" s="258" t="e">
        <f t="shared" si="6"/>
        <v>#REF!</v>
      </c>
      <c r="N85" s="258" t="e">
        <f t="shared" si="6"/>
        <v>#REF!</v>
      </c>
      <c r="O85" s="258" t="e">
        <f t="shared" si="6"/>
        <v>#REF!</v>
      </c>
      <c r="P85" s="258" t="e">
        <f t="shared" si="6"/>
        <v>#REF!</v>
      </c>
      <c r="Q85" s="258" t="e">
        <f t="shared" si="6"/>
        <v>#REF!</v>
      </c>
      <c r="R85" s="258" t="e">
        <f t="shared" si="6"/>
        <v>#REF!</v>
      </c>
      <c r="S85" s="258" t="e">
        <f t="shared" si="6"/>
        <v>#REF!</v>
      </c>
      <c r="T85" s="258" t="e">
        <f t="shared" ref="T85:AH89" si="7">SUMIF($G$14:$G$80,$G85,T$14:T$80)</f>
        <v>#REF!</v>
      </c>
      <c r="U85" s="258" t="e">
        <f t="shared" si="7"/>
        <v>#REF!</v>
      </c>
      <c r="V85" s="258" t="e">
        <f t="shared" si="7"/>
        <v>#REF!</v>
      </c>
      <c r="W85" s="258" t="e">
        <f t="shared" si="7"/>
        <v>#REF!</v>
      </c>
      <c r="X85" s="258" t="e">
        <f t="shared" si="7"/>
        <v>#REF!</v>
      </c>
      <c r="Y85" s="258" t="e">
        <f t="shared" si="7"/>
        <v>#REF!</v>
      </c>
      <c r="Z85" s="258" t="e">
        <f t="shared" si="7"/>
        <v>#REF!</v>
      </c>
      <c r="AA85" s="258" t="e">
        <f t="shared" si="7"/>
        <v>#REF!</v>
      </c>
      <c r="AB85" s="258" t="e">
        <f t="shared" si="7"/>
        <v>#REF!</v>
      </c>
      <c r="AC85" s="258" t="e">
        <f t="shared" si="7"/>
        <v>#REF!</v>
      </c>
      <c r="AD85" s="258" t="e">
        <f t="shared" si="7"/>
        <v>#REF!</v>
      </c>
      <c r="AE85" s="258" t="e">
        <f t="shared" si="7"/>
        <v>#REF!</v>
      </c>
      <c r="AF85" s="258" t="e">
        <f t="shared" si="7"/>
        <v>#REF!</v>
      </c>
      <c r="AG85" s="259" t="e">
        <f t="shared" si="7"/>
        <v>#REF!</v>
      </c>
      <c r="AH85" s="271" t="e">
        <f t="shared" si="7"/>
        <v>#REF!</v>
      </c>
    </row>
    <row r="86" spans="2:35">
      <c r="E86" s="260" t="s">
        <v>14</v>
      </c>
      <c r="F86" s="36" t="s">
        <v>13</v>
      </c>
      <c r="G86" s="36" t="str">
        <f>CONCATENATE(E86,F86)</f>
        <v>MISSIONManpower</v>
      </c>
      <c r="I86" s="275"/>
      <c r="J86" s="269" t="e">
        <f t="shared" si="6"/>
        <v>#REF!</v>
      </c>
      <c r="K86" s="261" t="e">
        <f t="shared" si="6"/>
        <v>#REF!</v>
      </c>
      <c r="L86" s="261" t="e">
        <f t="shared" si="6"/>
        <v>#REF!</v>
      </c>
      <c r="M86" s="261" t="e">
        <f t="shared" si="6"/>
        <v>#REF!</v>
      </c>
      <c r="N86" s="261" t="e">
        <f t="shared" si="6"/>
        <v>#REF!</v>
      </c>
      <c r="O86" s="261" t="e">
        <f t="shared" si="6"/>
        <v>#REF!</v>
      </c>
      <c r="P86" s="261" t="e">
        <f t="shared" si="6"/>
        <v>#REF!</v>
      </c>
      <c r="Q86" s="261" t="e">
        <f t="shared" si="6"/>
        <v>#REF!</v>
      </c>
      <c r="R86" s="261" t="e">
        <f t="shared" si="6"/>
        <v>#REF!</v>
      </c>
      <c r="S86" s="261" t="e">
        <f t="shared" si="6"/>
        <v>#REF!</v>
      </c>
      <c r="T86" s="261" t="e">
        <f t="shared" si="7"/>
        <v>#REF!</v>
      </c>
      <c r="U86" s="261" t="e">
        <f t="shared" si="7"/>
        <v>#REF!</v>
      </c>
      <c r="V86" s="261" t="e">
        <f t="shared" si="7"/>
        <v>#REF!</v>
      </c>
      <c r="W86" s="261" t="e">
        <f t="shared" si="7"/>
        <v>#REF!</v>
      </c>
      <c r="X86" s="261" t="e">
        <f t="shared" si="7"/>
        <v>#REF!</v>
      </c>
      <c r="Y86" s="261" t="e">
        <f t="shared" si="7"/>
        <v>#REF!</v>
      </c>
      <c r="Z86" s="261" t="e">
        <f t="shared" si="7"/>
        <v>#REF!</v>
      </c>
      <c r="AA86" s="261" t="e">
        <f t="shared" si="7"/>
        <v>#REF!</v>
      </c>
      <c r="AB86" s="261" t="e">
        <f t="shared" si="7"/>
        <v>#REF!</v>
      </c>
      <c r="AC86" s="261" t="e">
        <f t="shared" si="7"/>
        <v>#REF!</v>
      </c>
      <c r="AD86" s="261" t="e">
        <f t="shared" si="7"/>
        <v>#REF!</v>
      </c>
      <c r="AE86" s="261" t="e">
        <f t="shared" si="7"/>
        <v>#REF!</v>
      </c>
      <c r="AF86" s="261" t="e">
        <f t="shared" si="7"/>
        <v>#REF!</v>
      </c>
      <c r="AG86" s="262" t="e">
        <f t="shared" si="7"/>
        <v>#REF!</v>
      </c>
      <c r="AH86" s="272" t="e">
        <f t="shared" si="7"/>
        <v>#REF!</v>
      </c>
    </row>
    <row r="87" spans="2:35" ht="15.75" thickBot="1">
      <c r="E87" s="263" t="s">
        <v>139</v>
      </c>
      <c r="F87" s="264" t="s">
        <v>13</v>
      </c>
      <c r="G87" s="264" t="str">
        <f>CONCATENATE(E87,F87)</f>
        <v>TECHManpower</v>
      </c>
      <c r="H87" s="264"/>
      <c r="I87" s="276"/>
      <c r="J87" s="270" t="e">
        <f t="shared" si="6"/>
        <v>#REF!</v>
      </c>
      <c r="K87" s="266" t="e">
        <f t="shared" si="6"/>
        <v>#REF!</v>
      </c>
      <c r="L87" s="266" t="e">
        <f t="shared" si="6"/>
        <v>#REF!</v>
      </c>
      <c r="M87" s="266" t="e">
        <f t="shared" si="6"/>
        <v>#REF!</v>
      </c>
      <c r="N87" s="266" t="e">
        <f t="shared" si="6"/>
        <v>#REF!</v>
      </c>
      <c r="O87" s="266" t="e">
        <f t="shared" si="6"/>
        <v>#REF!</v>
      </c>
      <c r="P87" s="266" t="e">
        <f t="shared" si="6"/>
        <v>#REF!</v>
      </c>
      <c r="Q87" s="266" t="e">
        <f t="shared" si="6"/>
        <v>#REF!</v>
      </c>
      <c r="R87" s="266" t="e">
        <f t="shared" si="6"/>
        <v>#REF!</v>
      </c>
      <c r="S87" s="266" t="e">
        <f t="shared" si="6"/>
        <v>#REF!</v>
      </c>
      <c r="T87" s="266" t="e">
        <f t="shared" si="7"/>
        <v>#REF!</v>
      </c>
      <c r="U87" s="266" t="e">
        <f t="shared" si="7"/>
        <v>#REF!</v>
      </c>
      <c r="V87" s="266" t="e">
        <f t="shared" si="7"/>
        <v>#REF!</v>
      </c>
      <c r="W87" s="266" t="e">
        <f t="shared" si="7"/>
        <v>#REF!</v>
      </c>
      <c r="X87" s="266" t="e">
        <f t="shared" si="7"/>
        <v>#REF!</v>
      </c>
      <c r="Y87" s="266" t="e">
        <f t="shared" si="7"/>
        <v>#REF!</v>
      </c>
      <c r="Z87" s="266" t="e">
        <f t="shared" si="7"/>
        <v>#REF!</v>
      </c>
      <c r="AA87" s="266" t="e">
        <f t="shared" si="7"/>
        <v>#REF!</v>
      </c>
      <c r="AB87" s="266" t="e">
        <f t="shared" si="7"/>
        <v>#REF!</v>
      </c>
      <c r="AC87" s="266" t="e">
        <f t="shared" si="7"/>
        <v>#REF!</v>
      </c>
      <c r="AD87" s="266" t="e">
        <f t="shared" si="7"/>
        <v>#REF!</v>
      </c>
      <c r="AE87" s="266" t="e">
        <f t="shared" si="7"/>
        <v>#REF!</v>
      </c>
      <c r="AF87" s="266" t="e">
        <f t="shared" si="7"/>
        <v>#REF!</v>
      </c>
      <c r="AG87" s="267" t="e">
        <f t="shared" si="7"/>
        <v>#REF!</v>
      </c>
      <c r="AH87" s="273" t="e">
        <f t="shared" si="7"/>
        <v>#REF!</v>
      </c>
    </row>
    <row r="88" spans="2:35">
      <c r="E88" s="260" t="s">
        <v>14</v>
      </c>
      <c r="F88" s="37" t="s">
        <v>117</v>
      </c>
      <c r="G88" s="36" t="str">
        <f>CONCATENATE(E88,F88)</f>
        <v>MISSIONProcurement</v>
      </c>
      <c r="H88" s="37"/>
      <c r="J88" s="269" t="e">
        <f t="shared" si="6"/>
        <v>#REF!</v>
      </c>
      <c r="K88" s="261" t="e">
        <f t="shared" si="6"/>
        <v>#REF!</v>
      </c>
      <c r="L88" s="261" t="e">
        <f t="shared" si="6"/>
        <v>#REF!</v>
      </c>
      <c r="M88" s="261" t="e">
        <f t="shared" si="6"/>
        <v>#REF!</v>
      </c>
      <c r="N88" s="261" t="e">
        <f t="shared" si="6"/>
        <v>#REF!</v>
      </c>
      <c r="O88" s="261" t="e">
        <f t="shared" si="6"/>
        <v>#REF!</v>
      </c>
      <c r="P88" s="261" t="e">
        <f t="shared" si="6"/>
        <v>#REF!</v>
      </c>
      <c r="Q88" s="261" t="e">
        <f t="shared" si="6"/>
        <v>#REF!</v>
      </c>
      <c r="R88" s="261" t="e">
        <f t="shared" si="6"/>
        <v>#REF!</v>
      </c>
      <c r="S88" s="261" t="e">
        <f t="shared" si="6"/>
        <v>#REF!</v>
      </c>
      <c r="T88" s="261" t="e">
        <f t="shared" si="7"/>
        <v>#REF!</v>
      </c>
      <c r="U88" s="261" t="e">
        <f t="shared" si="7"/>
        <v>#REF!</v>
      </c>
      <c r="V88" s="261" t="e">
        <f t="shared" si="7"/>
        <v>#REF!</v>
      </c>
      <c r="W88" s="261" t="e">
        <f t="shared" si="7"/>
        <v>#REF!</v>
      </c>
      <c r="X88" s="261" t="e">
        <f t="shared" si="7"/>
        <v>#REF!</v>
      </c>
      <c r="Y88" s="261" t="e">
        <f t="shared" si="7"/>
        <v>#REF!</v>
      </c>
      <c r="Z88" s="261" t="e">
        <f t="shared" si="7"/>
        <v>#REF!</v>
      </c>
      <c r="AA88" s="261" t="e">
        <f t="shared" si="7"/>
        <v>#REF!</v>
      </c>
      <c r="AB88" s="261" t="e">
        <f t="shared" si="7"/>
        <v>#REF!</v>
      </c>
      <c r="AC88" s="261" t="e">
        <f t="shared" si="7"/>
        <v>#REF!</v>
      </c>
      <c r="AD88" s="261" t="e">
        <f t="shared" si="7"/>
        <v>#REF!</v>
      </c>
      <c r="AE88" s="261" t="e">
        <f t="shared" si="7"/>
        <v>#REF!</v>
      </c>
      <c r="AF88" s="261" t="e">
        <f t="shared" si="7"/>
        <v>#REF!</v>
      </c>
      <c r="AG88" s="262" t="e">
        <f t="shared" si="7"/>
        <v>#REF!</v>
      </c>
      <c r="AH88" s="262" t="e">
        <f t="shared" si="7"/>
        <v>#REF!</v>
      </c>
    </row>
    <row r="89" spans="2:35" ht="15.75" thickBot="1">
      <c r="E89" s="263" t="s">
        <v>139</v>
      </c>
      <c r="F89" s="264" t="s">
        <v>117</v>
      </c>
      <c r="G89" s="264" t="str">
        <f>CONCATENATE(E89,F89)</f>
        <v>TECHProcurement</v>
      </c>
      <c r="H89" s="264"/>
      <c r="I89" s="265"/>
      <c r="J89" s="270" t="e">
        <f t="shared" si="6"/>
        <v>#REF!</v>
      </c>
      <c r="K89" s="266" t="e">
        <f t="shared" si="6"/>
        <v>#REF!</v>
      </c>
      <c r="L89" s="266" t="e">
        <f t="shared" si="6"/>
        <v>#REF!</v>
      </c>
      <c r="M89" s="266" t="e">
        <f t="shared" si="6"/>
        <v>#REF!</v>
      </c>
      <c r="N89" s="266" t="e">
        <f t="shared" si="6"/>
        <v>#REF!</v>
      </c>
      <c r="O89" s="266" t="e">
        <f t="shared" si="6"/>
        <v>#REF!</v>
      </c>
      <c r="P89" s="266" t="e">
        <f t="shared" si="6"/>
        <v>#REF!</v>
      </c>
      <c r="Q89" s="266" t="e">
        <f t="shared" si="6"/>
        <v>#REF!</v>
      </c>
      <c r="R89" s="266" t="e">
        <f t="shared" si="6"/>
        <v>#REF!</v>
      </c>
      <c r="S89" s="266" t="e">
        <f t="shared" si="6"/>
        <v>#REF!</v>
      </c>
      <c r="T89" s="266" t="e">
        <f t="shared" si="7"/>
        <v>#REF!</v>
      </c>
      <c r="U89" s="266" t="e">
        <f t="shared" si="7"/>
        <v>#REF!</v>
      </c>
      <c r="V89" s="266" t="e">
        <f t="shared" si="7"/>
        <v>#REF!</v>
      </c>
      <c r="W89" s="266" t="e">
        <f t="shared" si="7"/>
        <v>#REF!</v>
      </c>
      <c r="X89" s="266" t="e">
        <f t="shared" si="7"/>
        <v>#REF!</v>
      </c>
      <c r="Y89" s="266" t="e">
        <f t="shared" si="7"/>
        <v>#REF!</v>
      </c>
      <c r="Z89" s="266" t="e">
        <f t="shared" si="7"/>
        <v>#REF!</v>
      </c>
      <c r="AA89" s="266" t="e">
        <f t="shared" si="7"/>
        <v>#REF!</v>
      </c>
      <c r="AB89" s="266" t="e">
        <f t="shared" si="7"/>
        <v>#REF!</v>
      </c>
      <c r="AC89" s="266" t="e">
        <f t="shared" si="7"/>
        <v>#REF!</v>
      </c>
      <c r="AD89" s="266" t="e">
        <f t="shared" si="7"/>
        <v>#REF!</v>
      </c>
      <c r="AE89" s="266" t="e">
        <f t="shared" si="7"/>
        <v>#REF!</v>
      </c>
      <c r="AF89" s="266" t="e">
        <f t="shared" si="7"/>
        <v>#REF!</v>
      </c>
      <c r="AG89" s="267" t="e">
        <f t="shared" si="7"/>
        <v>#REF!</v>
      </c>
      <c r="AH89" s="267" t="e">
        <f t="shared" si="7"/>
        <v>#REF!</v>
      </c>
    </row>
    <row r="91" spans="2:35">
      <c r="J91" s="124" t="e">
        <f t="shared" ref="J91:AH91" si="8">SUM(J85:J89)</f>
        <v>#REF!</v>
      </c>
      <c r="K91" s="124" t="e">
        <f t="shared" si="8"/>
        <v>#REF!</v>
      </c>
      <c r="L91" s="124" t="e">
        <f t="shared" si="8"/>
        <v>#REF!</v>
      </c>
      <c r="M91" s="124" t="e">
        <f t="shared" si="8"/>
        <v>#REF!</v>
      </c>
      <c r="N91" s="124" t="e">
        <f t="shared" si="8"/>
        <v>#REF!</v>
      </c>
      <c r="O91" s="124" t="e">
        <f t="shared" si="8"/>
        <v>#REF!</v>
      </c>
      <c r="P91" s="124" t="e">
        <f t="shared" si="8"/>
        <v>#REF!</v>
      </c>
      <c r="Q91" s="124" t="e">
        <f t="shared" si="8"/>
        <v>#REF!</v>
      </c>
      <c r="R91" s="124" t="e">
        <f t="shared" si="8"/>
        <v>#REF!</v>
      </c>
      <c r="S91" s="124" t="e">
        <f t="shared" si="8"/>
        <v>#REF!</v>
      </c>
      <c r="T91" s="124" t="e">
        <f t="shared" si="8"/>
        <v>#REF!</v>
      </c>
      <c r="U91" s="124" t="e">
        <f t="shared" si="8"/>
        <v>#REF!</v>
      </c>
      <c r="V91" s="124" t="e">
        <f t="shared" si="8"/>
        <v>#REF!</v>
      </c>
      <c r="W91" s="124" t="e">
        <f t="shared" si="8"/>
        <v>#REF!</v>
      </c>
      <c r="X91" s="124" t="e">
        <f t="shared" si="8"/>
        <v>#REF!</v>
      </c>
      <c r="Y91" s="124" t="e">
        <f t="shared" si="8"/>
        <v>#REF!</v>
      </c>
      <c r="Z91" s="124" t="e">
        <f t="shared" si="8"/>
        <v>#REF!</v>
      </c>
      <c r="AA91" s="124" t="e">
        <f t="shared" si="8"/>
        <v>#REF!</v>
      </c>
      <c r="AB91" s="124" t="e">
        <f t="shared" si="8"/>
        <v>#REF!</v>
      </c>
      <c r="AC91" s="124" t="e">
        <f t="shared" si="8"/>
        <v>#REF!</v>
      </c>
      <c r="AD91" s="124" t="e">
        <f t="shared" si="8"/>
        <v>#REF!</v>
      </c>
      <c r="AE91" s="124" t="e">
        <f t="shared" si="8"/>
        <v>#REF!</v>
      </c>
      <c r="AF91" s="124" t="e">
        <f t="shared" si="8"/>
        <v>#REF!</v>
      </c>
      <c r="AG91" s="124" t="e">
        <f t="shared" si="8"/>
        <v>#REF!</v>
      </c>
      <c r="AH91" s="124" t="e">
        <f t="shared" si="8"/>
        <v>#REF!</v>
      </c>
    </row>
    <row r="92" spans="2:35">
      <c r="J92" s="124"/>
      <c r="K92" s="124"/>
      <c r="L92" s="124"/>
      <c r="M92" s="124"/>
      <c r="N92" s="124"/>
      <c r="O92" s="124"/>
      <c r="P92" s="124"/>
      <c r="Q92" s="124"/>
      <c r="R92" s="124"/>
      <c r="S92" s="124"/>
      <c r="T92" s="124"/>
      <c r="U92" s="124"/>
      <c r="V92" s="124"/>
      <c r="W92" s="124"/>
      <c r="X92" s="124"/>
      <c r="Y92" s="124"/>
      <c r="Z92" s="124"/>
      <c r="AA92" s="124"/>
      <c r="AB92" s="124"/>
      <c r="AC92" s="124"/>
      <c r="AD92" s="124"/>
      <c r="AE92" s="124"/>
      <c r="AF92" s="124"/>
      <c r="AG92" s="124"/>
    </row>
    <row r="93" spans="2:35">
      <c r="B93" t="s">
        <v>924</v>
      </c>
      <c r="J93" s="222" t="e">
        <f>'Price Table 8 CS'!J81+'Price Table 8 AIUB'!J81+'Price Table 8 APCO'!J81+'Price Table 8 EPFL'!J81+'Price Table 8 RUAG'!J81+'Price Table 8 Syderal'!J81</f>
        <v>#REF!</v>
      </c>
      <c r="K93" s="222" t="e">
        <f>'Price Table 8 CS'!K81+'Price Table 8 AIUB'!K81+'Price Table 8 APCO'!K81+'Price Table 8 EPFL'!K81+'Price Table 8 RUAG'!K81+'Price Table 8 Syderal'!K81</f>
        <v>#REF!</v>
      </c>
      <c r="L93" s="222" t="e">
        <f>'Price Table 8 CS'!L81+'Price Table 8 AIUB'!L81+'Price Table 8 APCO'!L81+'Price Table 8 EPFL'!L81+'Price Table 8 RUAG'!L81+'Price Table 8 Syderal'!L81</f>
        <v>#REF!</v>
      </c>
      <c r="M93" s="222" t="e">
        <f>'Price Table 8 CS'!M81+'Price Table 8 AIUB'!M81+'Price Table 8 APCO'!M81+'Price Table 8 EPFL'!M81+'Price Table 8 RUAG'!M81+'Price Table 8 Syderal'!M81</f>
        <v>#REF!</v>
      </c>
      <c r="N93" s="222" t="e">
        <f>'Price Table 8 CS'!N81+'Price Table 8 AIUB'!N81+'Price Table 8 APCO'!N81+'Price Table 8 EPFL'!N81+'Price Table 8 RUAG'!N81+'Price Table 8 Syderal'!N81</f>
        <v>#REF!</v>
      </c>
      <c r="O93" s="222" t="e">
        <f>'Price Table 8 CS'!O81+'Price Table 8 AIUB'!O81+'Price Table 8 APCO'!O81+'Price Table 8 EPFL'!O81+'Price Table 8 RUAG'!O81+'Price Table 8 Syderal'!O81</f>
        <v>#REF!</v>
      </c>
      <c r="P93" s="222" t="e">
        <f>'Price Table 8 CS'!P81+'Price Table 8 AIUB'!P81+'Price Table 8 APCO'!P81+'Price Table 8 EPFL'!P81+'Price Table 8 RUAG'!P81+'Price Table 8 Syderal'!P81</f>
        <v>#REF!</v>
      </c>
      <c r="Q93" s="222" t="e">
        <f>'Price Table 8 CS'!Q81+'Price Table 8 AIUB'!Q81+'Price Table 8 APCO'!Q81+'Price Table 8 EPFL'!Q81+'Price Table 8 RUAG'!Q81+'Price Table 8 Syderal'!Q81</f>
        <v>#REF!</v>
      </c>
      <c r="R93" s="222" t="e">
        <f>'Price Table 8 CS'!R81+'Price Table 8 AIUB'!R81+'Price Table 8 APCO'!R81+'Price Table 8 EPFL'!R81+'Price Table 8 RUAG'!R81+'Price Table 8 Syderal'!R81</f>
        <v>#REF!</v>
      </c>
      <c r="S93" s="222" t="e">
        <f>'Price Table 8 CS'!S81+'Price Table 8 AIUB'!S81+'Price Table 8 APCO'!S81+'Price Table 8 EPFL'!S81+'Price Table 8 RUAG'!S81+'Price Table 8 Syderal'!S81</f>
        <v>#REF!</v>
      </c>
      <c r="T93" s="222" t="e">
        <f>'Price Table 8 CS'!T81+'Price Table 8 AIUB'!T81+'Price Table 8 APCO'!T81+'Price Table 8 EPFL'!T81+'Price Table 8 RUAG'!T81+'Price Table 8 Syderal'!T81</f>
        <v>#REF!</v>
      </c>
      <c r="U93" s="222" t="e">
        <f>'Price Table 8 CS'!U81+'Price Table 8 AIUB'!U81+'Price Table 8 APCO'!U81+'Price Table 8 EPFL'!U81+'Price Table 8 RUAG'!U81+'Price Table 8 Syderal'!U81</f>
        <v>#REF!</v>
      </c>
      <c r="V93" s="222" t="e">
        <f>'Price Table 8 CS'!V81+'Price Table 8 AIUB'!V81+'Price Table 8 APCO'!V81+'Price Table 8 EPFL'!V81+'Price Table 8 RUAG'!V81+'Price Table 8 Syderal'!V81</f>
        <v>#REF!</v>
      </c>
      <c r="W93" s="222" t="e">
        <f>'Price Table 8 CS'!W81+'Price Table 8 AIUB'!W81+'Price Table 8 APCO'!W81+'Price Table 8 EPFL'!W81+'Price Table 8 RUAG'!W81+'Price Table 8 Syderal'!W81</f>
        <v>#REF!</v>
      </c>
      <c r="X93" s="222" t="e">
        <f>'Price Table 8 CS'!X81+'Price Table 8 AIUB'!X81+'Price Table 8 APCO'!X81+'Price Table 8 EPFL'!X81+'Price Table 8 RUAG'!X81+'Price Table 8 Syderal'!X81</f>
        <v>#REF!</v>
      </c>
      <c r="Y93" s="222" t="e">
        <f>'Price Table 8 CS'!Y81+'Price Table 8 AIUB'!Y81+'Price Table 8 APCO'!Y81+'Price Table 8 EPFL'!Y81+'Price Table 8 RUAG'!Y81+'Price Table 8 Syderal'!Y81</f>
        <v>#REF!</v>
      </c>
      <c r="Z93" s="222" t="e">
        <f>'Price Table 8 CS'!Z81+'Price Table 8 AIUB'!Z81+'Price Table 8 APCO'!Z81+'Price Table 8 EPFL'!Z81+'Price Table 8 RUAG'!Z81+'Price Table 8 Syderal'!Z81</f>
        <v>#REF!</v>
      </c>
      <c r="AA93" s="222" t="e">
        <f>'Price Table 8 CS'!AA81+'Price Table 8 AIUB'!AA81+'Price Table 8 APCO'!AA81+'Price Table 8 EPFL'!AA81+'Price Table 8 RUAG'!AA81+'Price Table 8 Syderal'!AA81</f>
        <v>#REF!</v>
      </c>
      <c r="AB93" s="222" t="e">
        <f>'Price Table 8 CS'!AB81+'Price Table 8 AIUB'!AB81+'Price Table 8 APCO'!AB81+'Price Table 8 EPFL'!AB81+'Price Table 8 RUAG'!AB81+'Price Table 8 Syderal'!AB81</f>
        <v>#REF!</v>
      </c>
      <c r="AC93" s="222" t="e">
        <f>'Price Table 8 CS'!AC81+'Price Table 8 AIUB'!AC81+'Price Table 8 APCO'!AC81+'Price Table 8 EPFL'!AC81+'Price Table 8 RUAG'!AC81+'Price Table 8 Syderal'!AC81</f>
        <v>#REF!</v>
      </c>
      <c r="AD93" s="222" t="e">
        <f>'Price Table 8 CS'!AD81+'Price Table 8 AIUB'!AD81+'Price Table 8 APCO'!AD81+'Price Table 8 EPFL'!AD81+'Price Table 8 RUAG'!AD81+'Price Table 8 Syderal'!AD81</f>
        <v>#REF!</v>
      </c>
      <c r="AE93" s="222" t="e">
        <f>'Price Table 8 CS'!AE81+'Price Table 8 AIUB'!AE81+'Price Table 8 APCO'!AE81+'Price Table 8 EPFL'!AE81+'Price Table 8 RUAG'!AE81+'Price Table 8 Syderal'!AE81</f>
        <v>#REF!</v>
      </c>
      <c r="AF93" s="222" t="e">
        <f>'Price Table 8 CS'!AF81+'Price Table 8 AIUB'!AF81+'Price Table 8 APCO'!AF81+'Price Table 8 EPFL'!AF81+'Price Table 8 RUAG'!AF81+'Price Table 8 Syderal'!AF81</f>
        <v>#REF!</v>
      </c>
      <c r="AG93" s="222" t="e">
        <f>'Price Table 8 CS'!AG81+'Price Table 8 AIUB'!AG81+'Price Table 8 APCO'!AG81+'Price Table 8 EPFL'!AG81+'Price Table 8 RUAG'!AG81+'Price Table 8 Syderal'!AG81</f>
        <v>#REF!</v>
      </c>
      <c r="AH93" s="222" t="e">
        <f>'Price Table 8 CS'!AH81+'Price Table 8 AIUB'!AH81+'Price Table 8 APCO'!AH81+'Price Table 8 EPFL'!AH81+'Price Table 8 RUAG'!AH81+'Price Table 8 Syderal'!AH81</f>
        <v>#REF!</v>
      </c>
    </row>
    <row r="94" spans="2:35">
      <c r="B94" t="s">
        <v>925</v>
      </c>
      <c r="J94" s="222" t="e">
        <f>'Price Table 8 CS'!J82+'Price Table 8 AIUB'!J82+'Price Table 8 APCO'!J82+'Price Table 8 EPFL'!J82+'Price Table 8 RUAG'!J82+'Price Table 8 Syderal'!J82</f>
        <v>#REF!</v>
      </c>
      <c r="K94" s="222" t="e">
        <f>'Price Table 8 CS'!K82+'Price Table 8 AIUB'!K82+'Price Table 8 APCO'!K82+'Price Table 8 EPFL'!K82+'Price Table 8 RUAG'!K82+'Price Table 8 Syderal'!K82</f>
        <v>#REF!</v>
      </c>
      <c r="L94" s="222" t="e">
        <f>'Price Table 8 CS'!L82+'Price Table 8 AIUB'!L82+'Price Table 8 APCO'!L82+'Price Table 8 EPFL'!L82+'Price Table 8 RUAG'!L82+'Price Table 8 Syderal'!L82</f>
        <v>#REF!</v>
      </c>
      <c r="M94" s="222" t="e">
        <f>'Price Table 8 CS'!M82+'Price Table 8 AIUB'!M82+'Price Table 8 APCO'!M82+'Price Table 8 EPFL'!M82+'Price Table 8 RUAG'!M82+'Price Table 8 Syderal'!M82</f>
        <v>#REF!</v>
      </c>
      <c r="N94" s="222" t="e">
        <f>'Price Table 8 CS'!N82+'Price Table 8 AIUB'!N82+'Price Table 8 APCO'!N82+'Price Table 8 EPFL'!N82+'Price Table 8 RUAG'!N82+'Price Table 8 Syderal'!N82</f>
        <v>#REF!</v>
      </c>
      <c r="O94" s="222" t="e">
        <f>'Price Table 8 CS'!O82+'Price Table 8 AIUB'!O82+'Price Table 8 APCO'!O82+'Price Table 8 EPFL'!O82+'Price Table 8 RUAG'!O82+'Price Table 8 Syderal'!O82</f>
        <v>#REF!</v>
      </c>
      <c r="P94" s="222" t="e">
        <f>'Price Table 8 CS'!P82+'Price Table 8 AIUB'!P82+'Price Table 8 APCO'!P82+'Price Table 8 EPFL'!P82+'Price Table 8 RUAG'!P82+'Price Table 8 Syderal'!P82</f>
        <v>#REF!</v>
      </c>
      <c r="Q94" s="222" t="e">
        <f>'Price Table 8 CS'!Q82+'Price Table 8 AIUB'!Q82+'Price Table 8 APCO'!Q82+'Price Table 8 EPFL'!Q82+'Price Table 8 RUAG'!Q82+'Price Table 8 Syderal'!Q82</f>
        <v>#REF!</v>
      </c>
      <c r="R94" s="222" t="e">
        <f>'Price Table 8 CS'!R82+'Price Table 8 AIUB'!R82+'Price Table 8 APCO'!R82+'Price Table 8 EPFL'!R82+'Price Table 8 RUAG'!R82+'Price Table 8 Syderal'!R82</f>
        <v>#REF!</v>
      </c>
      <c r="S94" s="222" t="e">
        <f>'Price Table 8 CS'!S82+'Price Table 8 AIUB'!S82+'Price Table 8 APCO'!S82+'Price Table 8 EPFL'!S82+'Price Table 8 RUAG'!S82+'Price Table 8 Syderal'!S82</f>
        <v>#REF!</v>
      </c>
      <c r="T94" s="222" t="e">
        <f>'Price Table 8 CS'!T82+'Price Table 8 AIUB'!T82+'Price Table 8 APCO'!T82+'Price Table 8 EPFL'!T82+'Price Table 8 RUAG'!T82+'Price Table 8 Syderal'!T82</f>
        <v>#REF!</v>
      </c>
      <c r="U94" s="222" t="e">
        <f>'Price Table 8 CS'!U82+'Price Table 8 AIUB'!U82+'Price Table 8 APCO'!U82+'Price Table 8 EPFL'!U82+'Price Table 8 RUAG'!U82+'Price Table 8 Syderal'!U82</f>
        <v>#REF!</v>
      </c>
      <c r="V94" s="222" t="e">
        <f>'Price Table 8 CS'!V82+'Price Table 8 AIUB'!V82+'Price Table 8 APCO'!V82+'Price Table 8 EPFL'!V82+'Price Table 8 RUAG'!V82+'Price Table 8 Syderal'!V82</f>
        <v>#REF!</v>
      </c>
      <c r="W94" s="222" t="e">
        <f>'Price Table 8 CS'!W82+'Price Table 8 AIUB'!W82+'Price Table 8 APCO'!W82+'Price Table 8 EPFL'!W82+'Price Table 8 RUAG'!W82+'Price Table 8 Syderal'!W82</f>
        <v>#REF!</v>
      </c>
      <c r="X94" s="222" t="e">
        <f>'Price Table 8 CS'!X82+'Price Table 8 AIUB'!X82+'Price Table 8 APCO'!X82+'Price Table 8 EPFL'!X82+'Price Table 8 RUAG'!X82+'Price Table 8 Syderal'!X82</f>
        <v>#REF!</v>
      </c>
      <c r="Y94" s="222" t="e">
        <f>'Price Table 8 CS'!Y82+'Price Table 8 AIUB'!Y82+'Price Table 8 APCO'!Y82+'Price Table 8 EPFL'!Y82+'Price Table 8 RUAG'!Y82+'Price Table 8 Syderal'!Y82</f>
        <v>#REF!</v>
      </c>
      <c r="Z94" s="222" t="e">
        <f>'Price Table 8 CS'!Z82+'Price Table 8 AIUB'!Z82+'Price Table 8 APCO'!Z82+'Price Table 8 EPFL'!Z82+'Price Table 8 RUAG'!Z82+'Price Table 8 Syderal'!Z82</f>
        <v>#REF!</v>
      </c>
      <c r="AA94" s="222" t="e">
        <f>'Price Table 8 CS'!AA82+'Price Table 8 AIUB'!AA82+'Price Table 8 APCO'!AA82+'Price Table 8 EPFL'!AA82+'Price Table 8 RUAG'!AA82+'Price Table 8 Syderal'!AA82</f>
        <v>#REF!</v>
      </c>
      <c r="AB94" s="222" t="e">
        <f>'Price Table 8 CS'!AB82+'Price Table 8 AIUB'!AB82+'Price Table 8 APCO'!AB82+'Price Table 8 EPFL'!AB82+'Price Table 8 RUAG'!AB82+'Price Table 8 Syderal'!AB82</f>
        <v>#REF!</v>
      </c>
      <c r="AC94" s="222" t="e">
        <f>'Price Table 8 CS'!AC82+'Price Table 8 AIUB'!AC82+'Price Table 8 APCO'!AC82+'Price Table 8 EPFL'!AC82+'Price Table 8 RUAG'!AC82+'Price Table 8 Syderal'!AC82</f>
        <v>#REF!</v>
      </c>
      <c r="AD94" s="222" t="e">
        <f>'Price Table 8 CS'!AD82+'Price Table 8 AIUB'!AD82+'Price Table 8 APCO'!AD82+'Price Table 8 EPFL'!AD82+'Price Table 8 RUAG'!AD82+'Price Table 8 Syderal'!AD82</f>
        <v>#REF!</v>
      </c>
      <c r="AE94" s="222" t="e">
        <f>'Price Table 8 CS'!AE82+'Price Table 8 AIUB'!AE82+'Price Table 8 APCO'!AE82+'Price Table 8 EPFL'!AE82+'Price Table 8 RUAG'!AE82+'Price Table 8 Syderal'!AE82</f>
        <v>#REF!</v>
      </c>
      <c r="AF94" s="222" t="e">
        <f>'Price Table 8 CS'!AF82+'Price Table 8 AIUB'!AF82+'Price Table 8 APCO'!AF82+'Price Table 8 EPFL'!AF82+'Price Table 8 RUAG'!AF82+'Price Table 8 Syderal'!AF82</f>
        <v>#REF!</v>
      </c>
      <c r="AG94" s="222" t="e">
        <f>'Price Table 8 CS'!AG82+'Price Table 8 AIUB'!AG82+'Price Table 8 APCO'!AG82+'Price Table 8 EPFL'!AG82+'Price Table 8 RUAG'!AG82+'Price Table 8 Syderal'!AG82</f>
        <v>#REF!</v>
      </c>
      <c r="AH94" s="222" t="e">
        <f>'Price Table 8 CS'!AH82+'Price Table 8 AIUB'!AH82+'Price Table 8 APCO'!AH82+'Price Table 8 EPFL'!AH82+'Price Table 8 RUAG'!AH82+'Price Table 8 Syderal'!AH82</f>
        <v>#REF!</v>
      </c>
      <c r="AI94" s="222" t="e">
        <f>AH94-AH93</f>
        <v>#REF!</v>
      </c>
    </row>
    <row r="95" spans="2:35">
      <c r="B95" t="s">
        <v>926</v>
      </c>
      <c r="J95" s="115" t="e">
        <f>J93*0.2</f>
        <v>#REF!</v>
      </c>
      <c r="K95" s="115" t="e">
        <f t="shared" ref="K95:AH95" si="9">K93*0.2</f>
        <v>#REF!</v>
      </c>
      <c r="L95" s="115" t="e">
        <f t="shared" si="9"/>
        <v>#REF!</v>
      </c>
      <c r="M95" s="115" t="e">
        <f t="shared" si="9"/>
        <v>#REF!</v>
      </c>
      <c r="N95" s="115" t="e">
        <f t="shared" si="9"/>
        <v>#REF!</v>
      </c>
      <c r="O95" s="115" t="e">
        <f t="shared" si="9"/>
        <v>#REF!</v>
      </c>
      <c r="P95" s="115" t="e">
        <f t="shared" si="9"/>
        <v>#REF!</v>
      </c>
      <c r="Q95" s="115" t="e">
        <f t="shared" si="9"/>
        <v>#REF!</v>
      </c>
      <c r="R95" s="115" t="e">
        <f t="shared" si="9"/>
        <v>#REF!</v>
      </c>
      <c r="S95" s="115" t="e">
        <f t="shared" si="9"/>
        <v>#REF!</v>
      </c>
      <c r="T95" s="115" t="e">
        <f t="shared" si="9"/>
        <v>#REF!</v>
      </c>
      <c r="U95" s="115" t="e">
        <f t="shared" si="9"/>
        <v>#REF!</v>
      </c>
      <c r="V95" s="115" t="e">
        <f t="shared" si="9"/>
        <v>#REF!</v>
      </c>
      <c r="W95" s="115" t="e">
        <f t="shared" si="9"/>
        <v>#REF!</v>
      </c>
      <c r="X95" s="115" t="e">
        <f t="shared" si="9"/>
        <v>#REF!</v>
      </c>
      <c r="Y95" s="115" t="e">
        <f t="shared" si="9"/>
        <v>#REF!</v>
      </c>
      <c r="Z95" s="115" t="e">
        <f t="shared" si="9"/>
        <v>#REF!</v>
      </c>
      <c r="AA95" s="115" t="e">
        <f t="shared" si="9"/>
        <v>#REF!</v>
      </c>
      <c r="AB95" s="115" t="e">
        <f t="shared" si="9"/>
        <v>#REF!</v>
      </c>
      <c r="AC95" s="115" t="e">
        <f t="shared" si="9"/>
        <v>#REF!</v>
      </c>
      <c r="AD95" s="115" t="e">
        <f t="shared" si="9"/>
        <v>#REF!</v>
      </c>
      <c r="AE95" s="115" t="e">
        <f t="shared" si="9"/>
        <v>#REF!</v>
      </c>
      <c r="AF95" s="115" t="e">
        <f t="shared" si="9"/>
        <v>#REF!</v>
      </c>
      <c r="AG95" s="115" t="e">
        <f t="shared" si="9"/>
        <v>#REF!</v>
      </c>
      <c r="AH95" s="115" t="e">
        <f t="shared" si="9"/>
        <v>#REF!</v>
      </c>
    </row>
    <row r="96" spans="2:35">
      <c r="B96" t="s">
        <v>927</v>
      </c>
      <c r="J96" s="115">
        <f>'Price Table 8 Airbus'!J79</f>
        <v>0</v>
      </c>
      <c r="K96" s="115">
        <f>'Price Table 8 Airbus'!K79</f>
        <v>0</v>
      </c>
      <c r="L96" s="115">
        <f>'Price Table 8 Airbus'!L79</f>
        <v>52.426390893751304</v>
      </c>
      <c r="M96" s="115">
        <f>'Price Table 8 Airbus'!M79</f>
        <v>164.4694459779804</v>
      </c>
      <c r="N96" s="115">
        <f>'Price Table 8 Airbus'!N79</f>
        <v>184.37944842329668</v>
      </c>
      <c r="O96" s="115">
        <f>'Price Table 8 Airbus'!O79</f>
        <v>78.241647103304715</v>
      </c>
      <c r="P96" s="115">
        <f>'Price Table 8 Airbus'!P79</f>
        <v>263.00498561784286</v>
      </c>
      <c r="Q96" s="115">
        <f>'Price Table 8 Airbus'!Q79</f>
        <v>182.49439476155544</v>
      </c>
      <c r="R96" s="115">
        <f>'Price Table 8 Airbus'!R79</f>
        <v>192.83888821678346</v>
      </c>
      <c r="S96" s="115">
        <f>'Price Table 8 Airbus'!S79</f>
        <v>126.03571900548555</v>
      </c>
      <c r="T96" s="115">
        <f>'Price Table 8 Airbus'!T79</f>
        <v>0</v>
      </c>
      <c r="U96" s="115">
        <f>'Price Table 8 Airbus'!U79</f>
        <v>0</v>
      </c>
      <c r="V96" s="115">
        <f>'Price Table 8 Airbus'!V79</f>
        <v>0</v>
      </c>
      <c r="W96" s="115">
        <f>'Price Table 8 Airbus'!W79</f>
        <v>0</v>
      </c>
      <c r="X96" s="115">
        <f>'Price Table 8 Airbus'!X79</f>
        <v>0</v>
      </c>
      <c r="Y96" s="115">
        <f>'Price Table 8 Airbus'!Y79</f>
        <v>0</v>
      </c>
      <c r="Z96" s="115">
        <f>'Price Table 8 Airbus'!Z79</f>
        <v>0</v>
      </c>
      <c r="AA96" s="115">
        <f>'Price Table 8 Airbus'!AA79</f>
        <v>0</v>
      </c>
      <c r="AB96" s="115">
        <f>'Price Table 8 Airbus'!AB79</f>
        <v>0</v>
      </c>
      <c r="AC96" s="115">
        <f>'Price Table 8 Airbus'!AC79</f>
        <v>0</v>
      </c>
      <c r="AD96" s="115">
        <f>'Price Table 8 Airbus'!AD79</f>
        <v>0</v>
      </c>
      <c r="AE96" s="115">
        <f>'Price Table 8 Airbus'!AE79</f>
        <v>0</v>
      </c>
      <c r="AF96" s="115">
        <f>'Price Table 8 Airbus'!AF79</f>
        <v>0</v>
      </c>
      <c r="AG96" s="115">
        <f>'Price Table 8 Airbus'!AG79</f>
        <v>0</v>
      </c>
      <c r="AH96" s="115">
        <f>'Price Table 8 Airbus'!AH79</f>
        <v>1243.8909200000005</v>
      </c>
    </row>
    <row r="97" spans="2:34">
      <c r="B97" t="s">
        <v>928</v>
      </c>
      <c r="J97" s="115">
        <f>'Price Table 8 OHB'!J79</f>
        <v>8.7835143477763804</v>
      </c>
      <c r="K97" s="115">
        <f>'Price Table 8 OHB'!K79</f>
        <v>24.039205822948826</v>
      </c>
      <c r="L97" s="115">
        <f>'Price Table 8 OHB'!L79</f>
        <v>42.756830913456042</v>
      </c>
      <c r="M97" s="115">
        <f>'Price Table 8 OHB'!M79</f>
        <v>51.686845013528448</v>
      </c>
      <c r="N97" s="115">
        <f>'Price Table 8 OHB'!N79</f>
        <v>70.48814855569529</v>
      </c>
      <c r="O97" s="115">
        <f>'Price Table 8 OHB'!O79</f>
        <v>88.15884517548875</v>
      </c>
      <c r="P97" s="115">
        <f>'Price Table 8 OHB'!P79</f>
        <v>140.38870145954806</v>
      </c>
      <c r="Q97" s="115">
        <f>'Price Table 8 OHB'!Q79</f>
        <v>156.08611962196565</v>
      </c>
      <c r="R97" s="115">
        <f>'Price Table 8 OHB'!R79</f>
        <v>164.107508526733</v>
      </c>
      <c r="S97" s="115">
        <f>'Price Table 8 OHB'!S79</f>
        <v>183.35398236538242</v>
      </c>
      <c r="T97" s="115">
        <f>'Price Table 8 OHB'!T79</f>
        <v>123.53985099653212</v>
      </c>
      <c r="U97" s="115">
        <f>'Price Table 8 OHB'!U79</f>
        <v>48.019761442018222</v>
      </c>
      <c r="V97" s="115">
        <f>'Price Table 8 OHB'!V79</f>
        <v>28.756494290105817</v>
      </c>
      <c r="W97" s="115">
        <f>'Price Table 8 OHB'!W79</f>
        <v>69.961393112559236</v>
      </c>
      <c r="X97" s="115">
        <f>'Price Table 8 OHB'!X79</f>
        <v>47.168429810855791</v>
      </c>
      <c r="Y97" s="115">
        <f>'Price Table 8 OHB'!Y79</f>
        <v>33.182338071465772</v>
      </c>
      <c r="Z97" s="115">
        <f>'Price Table 8 OHB'!Z79</f>
        <v>33.182338071465772</v>
      </c>
      <c r="AA97" s="115">
        <f>'Price Table 8 OHB'!AA79</f>
        <v>25.56717160169201</v>
      </c>
      <c r="AB97" s="115">
        <f>'Price Table 8 OHB'!AB79</f>
        <v>43.145670896688387</v>
      </c>
      <c r="AC97" s="115">
        <f>'Price Table 8 OHB'!AC79</f>
        <v>77.946492130635264</v>
      </c>
      <c r="AD97" s="115">
        <f>'Price Table 8 OHB'!AD79</f>
        <v>44.740598681452695</v>
      </c>
      <c r="AE97" s="115">
        <f>'Price Table 8 OHB'!AE79</f>
        <v>38.586454403414507</v>
      </c>
      <c r="AF97" s="115">
        <f>'Price Table 8 OHB'!AF79</f>
        <v>37.315355741015971</v>
      </c>
      <c r="AG97" s="115">
        <f>'Price Table 8 OHB'!AG79</f>
        <v>36.634392109040562</v>
      </c>
      <c r="AH97" s="115">
        <f>'Price Table 8 OHB'!AH79</f>
        <v>1617.5964431614652</v>
      </c>
    </row>
    <row r="98" spans="2:34">
      <c r="B98" t="s">
        <v>929</v>
      </c>
      <c r="O98">
        <v>150</v>
      </c>
      <c r="Y98">
        <v>1200</v>
      </c>
      <c r="AA98">
        <v>750</v>
      </c>
      <c r="AC98">
        <v>600</v>
      </c>
      <c r="AD98">
        <v>300</v>
      </c>
      <c r="AH98" s="124">
        <f>SUM(J98:AG98)</f>
        <v>3000</v>
      </c>
    </row>
  </sheetData>
  <mergeCells count="5">
    <mergeCell ref="J10:L10"/>
    <mergeCell ref="M10:R10"/>
    <mergeCell ref="S10:V10"/>
    <mergeCell ref="W10:AD10"/>
    <mergeCell ref="AE10:AG10"/>
  </mergeCells>
  <phoneticPr fontId="28" type="noConversion"/>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1" tint="0.499984740745262"/>
  </sheetPr>
  <dimension ref="A1:BJ476"/>
  <sheetViews>
    <sheetView topLeftCell="U334" zoomScaleNormal="100" workbookViewId="0">
      <selection activeCell="AZ351" sqref="AZ351"/>
    </sheetView>
  </sheetViews>
  <sheetFormatPr defaultColWidth="8.85546875" defaultRowHeight="15" outlineLevelCol="1"/>
  <cols>
    <col min="1" max="1" width="8.85546875" hidden="1" customWidth="1" outlineLevel="1"/>
    <col min="2" max="2" width="8.85546875" style="17" hidden="1" customWidth="1" outlineLevel="1"/>
    <col min="3" max="7" width="8.85546875" hidden="1" customWidth="1" outlineLevel="1"/>
    <col min="8" max="8" width="14.85546875" hidden="1" customWidth="1" outlineLevel="1"/>
    <col min="9" max="9" width="10.140625" hidden="1" customWidth="1" outlineLevel="1"/>
    <col min="10" max="19" width="8.85546875" hidden="1" customWidth="1" outlineLevel="1"/>
    <col min="20" max="20" width="9.7109375" hidden="1" customWidth="1" outlineLevel="1"/>
    <col min="21" max="21" width="8.85546875" collapsed="1"/>
    <col min="22" max="22" width="20" customWidth="1"/>
    <col min="23" max="23" width="17.85546875" customWidth="1"/>
    <col min="24" max="24" width="18.28515625" customWidth="1"/>
    <col min="25" max="25" width="4.140625" customWidth="1"/>
    <col min="26" max="26" width="13.42578125" customWidth="1"/>
    <col min="27" max="28" width="2.42578125" customWidth="1"/>
    <col min="55" max="55" width="13.42578125" bestFit="1" customWidth="1"/>
    <col min="56" max="56" width="25" bestFit="1" customWidth="1"/>
    <col min="57" max="57" width="43" bestFit="1" customWidth="1"/>
    <col min="58" max="58" width="9.140625" bestFit="1" customWidth="1"/>
    <col min="59" max="59" width="21" bestFit="1" customWidth="1"/>
    <col min="60" max="60" width="24.85546875" bestFit="1" customWidth="1"/>
    <col min="62" max="62" width="19.7109375" bestFit="1" customWidth="1"/>
  </cols>
  <sheetData>
    <row r="1" spans="1:52">
      <c r="A1" s="16" t="s">
        <v>930</v>
      </c>
    </row>
    <row r="2" spans="1:52" ht="18.75">
      <c r="C2" t="s">
        <v>931</v>
      </c>
      <c r="AA2" s="556" t="s">
        <v>932</v>
      </c>
      <c r="AD2" s="556"/>
      <c r="AE2" s="556"/>
      <c r="AF2" s="556"/>
    </row>
    <row r="3" spans="1:52">
      <c r="A3" s="75"/>
      <c r="B3" s="76"/>
      <c r="C3" t="s">
        <v>933</v>
      </c>
    </row>
    <row r="4" spans="1:52">
      <c r="A4" s="73"/>
      <c r="B4" s="70"/>
      <c r="C4" t="s">
        <v>934</v>
      </c>
      <c r="AC4" s="601">
        <v>2020</v>
      </c>
      <c r="AD4" s="601"/>
      <c r="AE4" s="601"/>
      <c r="AF4" s="601"/>
      <c r="AG4" s="2">
        <v>2021</v>
      </c>
      <c r="AH4" s="2"/>
      <c r="AI4" s="2"/>
      <c r="AJ4" s="2"/>
      <c r="AK4" s="601">
        <v>2022</v>
      </c>
      <c r="AL4" s="601"/>
      <c r="AM4" s="601"/>
      <c r="AN4" s="601"/>
      <c r="AO4" s="2">
        <v>2023</v>
      </c>
      <c r="AP4" s="2"/>
      <c r="AQ4" s="2"/>
      <c r="AR4" s="2"/>
      <c r="AS4" s="601">
        <v>2024</v>
      </c>
      <c r="AT4" s="601"/>
      <c r="AU4" s="601"/>
      <c r="AV4" s="601"/>
      <c r="AW4" s="2">
        <v>2025</v>
      </c>
      <c r="AX4" s="2"/>
      <c r="AY4" s="2"/>
      <c r="AZ4" s="2"/>
    </row>
    <row r="5" spans="1:52">
      <c r="A5" s="77"/>
      <c r="B5" s="78"/>
      <c r="C5" t="s">
        <v>935</v>
      </c>
      <c r="AC5" s="557" t="s">
        <v>548</v>
      </c>
      <c r="AD5" s="557" t="s">
        <v>549</v>
      </c>
      <c r="AE5" s="557" t="s">
        <v>780</v>
      </c>
      <c r="AF5" s="557" t="s">
        <v>551</v>
      </c>
      <c r="AG5" s="557" t="s">
        <v>548</v>
      </c>
      <c r="AH5" s="557" t="s">
        <v>549</v>
      </c>
      <c r="AI5" s="557" t="s">
        <v>780</v>
      </c>
      <c r="AJ5" s="557" t="s">
        <v>551</v>
      </c>
      <c r="AK5" s="557" t="s">
        <v>548</v>
      </c>
      <c r="AL5" s="557" t="s">
        <v>549</v>
      </c>
      <c r="AM5" s="557" t="s">
        <v>780</v>
      </c>
      <c r="AN5" s="557" t="s">
        <v>551</v>
      </c>
      <c r="AO5" s="557" t="s">
        <v>548</v>
      </c>
      <c r="AP5" s="557" t="s">
        <v>549</v>
      </c>
      <c r="AQ5" s="557" t="s">
        <v>780</v>
      </c>
      <c r="AR5" s="557" t="s">
        <v>551</v>
      </c>
      <c r="AS5" s="557" t="s">
        <v>548</v>
      </c>
      <c r="AT5" s="557" t="s">
        <v>549</v>
      </c>
      <c r="AU5" s="557" t="s">
        <v>780</v>
      </c>
      <c r="AV5" s="557" t="s">
        <v>551</v>
      </c>
      <c r="AW5" s="557" t="s">
        <v>548</v>
      </c>
      <c r="AX5" s="557" t="s">
        <v>549</v>
      </c>
      <c r="AY5" s="557" t="s">
        <v>780</v>
      </c>
      <c r="AZ5" s="557" t="s">
        <v>551</v>
      </c>
    </row>
    <row r="6" spans="1:52">
      <c r="A6" s="79"/>
      <c r="B6" s="80"/>
      <c r="C6" t="s">
        <v>936</v>
      </c>
    </row>
    <row r="7" spans="1:52">
      <c r="A7" s="81"/>
      <c r="B7" s="82"/>
      <c r="C7" t="s">
        <v>937</v>
      </c>
    </row>
    <row r="8" spans="1:52">
      <c r="A8" s="83"/>
      <c r="B8" s="84"/>
      <c r="C8" t="s">
        <v>938</v>
      </c>
    </row>
    <row r="9" spans="1:52">
      <c r="A9" s="85"/>
      <c r="B9" s="86"/>
      <c r="C9" t="s">
        <v>939</v>
      </c>
      <c r="I9" s="558" t="s">
        <v>940</v>
      </c>
      <c r="L9" s="558" t="s">
        <v>941</v>
      </c>
      <c r="N9" s="558" t="s">
        <v>942</v>
      </c>
      <c r="R9" s="558" t="s">
        <v>943</v>
      </c>
    </row>
    <row r="10" spans="1:52">
      <c r="H10" s="16" t="s">
        <v>944</v>
      </c>
      <c r="I10" s="16" t="s">
        <v>945</v>
      </c>
      <c r="J10" s="16" t="s">
        <v>946</v>
      </c>
      <c r="K10" s="16" t="s">
        <v>947</v>
      </c>
      <c r="L10" s="16" t="s">
        <v>948</v>
      </c>
      <c r="M10" s="16" t="s">
        <v>949</v>
      </c>
      <c r="N10" s="16" t="s">
        <v>950</v>
      </c>
      <c r="O10" s="16" t="s">
        <v>951</v>
      </c>
      <c r="P10" s="16" t="s">
        <v>952</v>
      </c>
      <c r="Q10" s="16" t="s">
        <v>953</v>
      </c>
      <c r="R10" s="16" t="s">
        <v>954</v>
      </c>
      <c r="S10" s="16" t="s">
        <v>955</v>
      </c>
    </row>
    <row r="11" spans="1:52">
      <c r="G11" t="s">
        <v>27</v>
      </c>
      <c r="H11" t="s">
        <v>6</v>
      </c>
      <c r="I11" t="s">
        <v>7</v>
      </c>
      <c r="J11" t="s">
        <v>7</v>
      </c>
      <c r="K11" t="s">
        <v>8</v>
      </c>
      <c r="L11" t="s">
        <v>8</v>
      </c>
      <c r="M11" t="s">
        <v>9</v>
      </c>
      <c r="N11" t="s">
        <v>9</v>
      </c>
      <c r="O11" t="s">
        <v>9</v>
      </c>
      <c r="P11" t="s">
        <v>9</v>
      </c>
      <c r="Q11" t="s">
        <v>956</v>
      </c>
      <c r="R11" t="s">
        <v>751</v>
      </c>
      <c r="S11" t="s">
        <v>751</v>
      </c>
    </row>
    <row r="14" spans="1:52">
      <c r="B14" s="17" t="s">
        <v>957</v>
      </c>
    </row>
    <row r="16" spans="1:52">
      <c r="B16" s="17" t="s">
        <v>776</v>
      </c>
    </row>
    <row r="28" spans="1:52">
      <c r="A28" s="16" t="s">
        <v>785</v>
      </c>
      <c r="H28" s="558"/>
      <c r="I28" s="558"/>
      <c r="AA28" s="559"/>
    </row>
    <row r="29" spans="1:52">
      <c r="A29" s="16" t="s">
        <v>786</v>
      </c>
      <c r="F29" s="560"/>
      <c r="H29" s="558"/>
      <c r="I29" s="561"/>
      <c r="J29" s="558"/>
      <c r="K29" s="558"/>
      <c r="L29" s="558"/>
      <c r="M29" s="558"/>
      <c r="N29" s="558"/>
      <c r="O29" s="558"/>
      <c r="P29" s="558"/>
      <c r="Q29" s="558"/>
      <c r="R29" s="561"/>
      <c r="S29" s="558"/>
      <c r="W29" s="559"/>
      <c r="X29" s="559" t="s">
        <v>958</v>
      </c>
    </row>
    <row r="30" spans="1:52">
      <c r="A30" s="87" t="s">
        <v>775</v>
      </c>
      <c r="B30" s="88"/>
      <c r="C30" s="89"/>
      <c r="D30" s="89"/>
      <c r="E30" s="89"/>
      <c r="F30" s="89"/>
      <c r="G30" s="89" t="s">
        <v>959</v>
      </c>
      <c r="H30" s="89"/>
      <c r="I30" s="89"/>
      <c r="J30" s="89">
        <f>1294/10.4964</f>
        <v>123.28036279105217</v>
      </c>
      <c r="K30" s="89"/>
      <c r="L30" s="89" t="s">
        <v>960</v>
      </c>
      <c r="M30" s="89"/>
      <c r="N30" s="89">
        <f>1046/10.4964</f>
        <v>99.653214435425483</v>
      </c>
    </row>
    <row r="31" spans="1:52" ht="45.75" thickBot="1">
      <c r="A31" s="16"/>
      <c r="U31" t="s">
        <v>546</v>
      </c>
      <c r="V31" t="s">
        <v>961</v>
      </c>
      <c r="W31" s="107" t="s">
        <v>962</v>
      </c>
      <c r="X31" s="562" t="s">
        <v>963</v>
      </c>
      <c r="Y31" t="s">
        <v>740</v>
      </c>
      <c r="Z31" t="s">
        <v>824</v>
      </c>
      <c r="AC31" s="3"/>
      <c r="AD31" s="3"/>
      <c r="AE31" s="3"/>
      <c r="AF31" s="3"/>
      <c r="AG31" s="3"/>
      <c r="AH31" s="3"/>
      <c r="AI31" s="3"/>
      <c r="AJ31" s="3"/>
      <c r="AK31" s="3"/>
      <c r="AL31" s="3"/>
      <c r="AM31" s="3"/>
      <c r="AN31" s="3"/>
      <c r="AO31" s="3"/>
      <c r="AP31" s="3"/>
      <c r="AQ31" s="3"/>
      <c r="AR31" s="3"/>
      <c r="AS31" s="3"/>
      <c r="AT31" s="3"/>
      <c r="AU31" s="3"/>
      <c r="AV31" s="3"/>
      <c r="AW31" s="3"/>
      <c r="AX31" s="3"/>
      <c r="AY31" s="3"/>
      <c r="AZ31" s="3"/>
    </row>
    <row r="32" spans="1:52">
      <c r="A32" s="73"/>
      <c r="B32" s="70"/>
      <c r="C32" s="73"/>
      <c r="D32" s="73" t="s">
        <v>791</v>
      </c>
      <c r="E32" s="73"/>
      <c r="F32" s="73"/>
      <c r="G32" s="73"/>
      <c r="H32" s="73">
        <v>225</v>
      </c>
      <c r="I32" s="73">
        <v>825</v>
      </c>
      <c r="J32" s="73">
        <v>825</v>
      </c>
      <c r="K32" s="73">
        <v>825</v>
      </c>
      <c r="L32" s="73">
        <v>825</v>
      </c>
      <c r="M32" s="73">
        <v>825</v>
      </c>
      <c r="N32" s="73">
        <v>825</v>
      </c>
      <c r="O32" s="73">
        <v>825</v>
      </c>
      <c r="P32" s="73">
        <v>825</v>
      </c>
      <c r="Q32" s="73">
        <v>825</v>
      </c>
      <c r="R32" s="73">
        <v>225</v>
      </c>
      <c r="S32" s="73">
        <v>225</v>
      </c>
      <c r="U32" s="72">
        <v>110200</v>
      </c>
      <c r="V32" s="73" t="s">
        <v>964</v>
      </c>
      <c r="W32" s="73" t="s">
        <v>791</v>
      </c>
      <c r="AC32" s="563">
        <v>90</v>
      </c>
      <c r="AD32" s="564">
        <v>135</v>
      </c>
      <c r="AE32" s="564">
        <f>I32/2</f>
        <v>412.5</v>
      </c>
      <c r="AF32" s="564">
        <f>I32/2</f>
        <v>412.5</v>
      </c>
      <c r="AG32" s="564">
        <f>J32/2</f>
        <v>412.5</v>
      </c>
      <c r="AH32" s="564">
        <f>J32/2</f>
        <v>412.5</v>
      </c>
      <c r="AI32" s="564">
        <f>K32/2</f>
        <v>412.5</v>
      </c>
      <c r="AJ32" s="564">
        <f>K32/2</f>
        <v>412.5</v>
      </c>
      <c r="AK32" s="564">
        <f>L32/2</f>
        <v>412.5</v>
      </c>
      <c r="AL32" s="564">
        <f>L32/2</f>
        <v>412.5</v>
      </c>
      <c r="AM32" s="564">
        <f>M32/2</f>
        <v>412.5</v>
      </c>
      <c r="AN32" s="564">
        <f>M32/2</f>
        <v>412.5</v>
      </c>
      <c r="AO32" s="564">
        <f>N32/2</f>
        <v>412.5</v>
      </c>
      <c r="AP32" s="564">
        <f>N32/2</f>
        <v>412.5</v>
      </c>
      <c r="AQ32" s="564">
        <f>O32/2</f>
        <v>412.5</v>
      </c>
      <c r="AR32" s="564">
        <f>O32/2</f>
        <v>412.5</v>
      </c>
      <c r="AS32" s="564">
        <f>P32/2</f>
        <v>412.5</v>
      </c>
      <c r="AT32" s="564">
        <f>Q32/2</f>
        <v>412.5</v>
      </c>
      <c r="AU32" s="564">
        <f>Q32/2</f>
        <v>412.5</v>
      </c>
      <c r="AV32" s="564">
        <f>Q32/2</f>
        <v>412.5</v>
      </c>
      <c r="AW32" s="564">
        <f>R32/2</f>
        <v>112.5</v>
      </c>
      <c r="AX32" s="564">
        <f>R32/2</f>
        <v>112.5</v>
      </c>
      <c r="AY32" s="564">
        <f>S32/2</f>
        <v>112.5</v>
      </c>
      <c r="AZ32" s="274">
        <f>S32/2</f>
        <v>112.5</v>
      </c>
    </row>
    <row r="33" spans="1:53">
      <c r="A33" s="73" t="s">
        <v>965</v>
      </c>
      <c r="B33" s="70"/>
      <c r="C33" s="73"/>
      <c r="D33" s="73" t="s">
        <v>792</v>
      </c>
      <c r="E33" s="73"/>
      <c r="F33" s="73"/>
      <c r="G33" s="73"/>
      <c r="H33" s="73">
        <f>H32*J30*0.001</f>
        <v>27.738081627986741</v>
      </c>
      <c r="I33" s="73">
        <f>I32*J30*0.001</f>
        <v>101.70629930261804</v>
      </c>
      <c r="J33" s="73">
        <f>J32*J30*0.001</f>
        <v>101.70629930261804</v>
      </c>
      <c r="K33" s="73">
        <f>K32*J30*0.001</f>
        <v>101.70629930261804</v>
      </c>
      <c r="L33" s="73">
        <f>L32*J30*0.001</f>
        <v>101.70629930261804</v>
      </c>
      <c r="M33" s="73">
        <f>M32*J30*0.001</f>
        <v>101.70629930261804</v>
      </c>
      <c r="N33" s="73">
        <f>N32*J30*0.001</f>
        <v>101.70629930261804</v>
      </c>
      <c r="O33" s="73">
        <f>O32*J30*0.001</f>
        <v>101.70629930261804</v>
      </c>
      <c r="P33" s="73">
        <f>P32*J30*0.001</f>
        <v>101.70629930261804</v>
      </c>
      <c r="Q33" s="73">
        <f>Q32*J30*0.001</f>
        <v>101.70629930261804</v>
      </c>
      <c r="R33" s="73">
        <f>R32*J30*0.001</f>
        <v>27.738081627986741</v>
      </c>
      <c r="S33" s="73">
        <f>S32*J30*0.001</f>
        <v>27.738081627986741</v>
      </c>
      <c r="U33" s="72">
        <v>110200</v>
      </c>
      <c r="V33" s="73" t="s">
        <v>964</v>
      </c>
      <c r="W33" s="73" t="s">
        <v>792</v>
      </c>
      <c r="Y33" t="s">
        <v>32</v>
      </c>
      <c r="Z33" t="str">
        <f>VLOOKUP(Y33,'Price Table 8 OHB'!A:B,2,FALSE)</f>
        <v>Management</v>
      </c>
      <c r="AC33" s="565">
        <f>AC32*$J$30*0.001</f>
        <v>11.095232651194696</v>
      </c>
      <c r="AD33">
        <f t="shared" ref="AD33:AZ33" si="0">AD32*$J$30*0.001</f>
        <v>16.642848976792045</v>
      </c>
      <c r="AE33">
        <f t="shared" si="0"/>
        <v>50.853149651309018</v>
      </c>
      <c r="AF33">
        <f t="shared" si="0"/>
        <v>50.853149651309018</v>
      </c>
      <c r="AG33">
        <f t="shared" si="0"/>
        <v>50.853149651309018</v>
      </c>
      <c r="AH33">
        <f t="shared" si="0"/>
        <v>50.853149651309018</v>
      </c>
      <c r="AI33">
        <f t="shared" si="0"/>
        <v>50.853149651309018</v>
      </c>
      <c r="AJ33">
        <f t="shared" si="0"/>
        <v>50.853149651309018</v>
      </c>
      <c r="AK33">
        <f t="shared" si="0"/>
        <v>50.853149651309018</v>
      </c>
      <c r="AL33">
        <f t="shared" si="0"/>
        <v>50.853149651309018</v>
      </c>
      <c r="AM33">
        <f t="shared" si="0"/>
        <v>50.853149651309018</v>
      </c>
      <c r="AN33">
        <f t="shared" si="0"/>
        <v>50.853149651309018</v>
      </c>
      <c r="AO33">
        <f t="shared" si="0"/>
        <v>50.853149651309018</v>
      </c>
      <c r="AP33">
        <f t="shared" si="0"/>
        <v>50.853149651309018</v>
      </c>
      <c r="AQ33">
        <f t="shared" si="0"/>
        <v>50.853149651309018</v>
      </c>
      <c r="AR33">
        <f t="shared" si="0"/>
        <v>50.853149651309018</v>
      </c>
      <c r="AS33">
        <f t="shared" si="0"/>
        <v>50.853149651309018</v>
      </c>
      <c r="AT33">
        <f t="shared" si="0"/>
        <v>50.853149651309018</v>
      </c>
      <c r="AU33">
        <f t="shared" si="0"/>
        <v>50.853149651309018</v>
      </c>
      <c r="AV33">
        <f t="shared" si="0"/>
        <v>50.853149651309018</v>
      </c>
      <c r="AW33">
        <f t="shared" si="0"/>
        <v>13.869040813993371</v>
      </c>
      <c r="AX33">
        <f t="shared" si="0"/>
        <v>13.869040813993371</v>
      </c>
      <c r="AY33">
        <f t="shared" si="0"/>
        <v>13.869040813993371</v>
      </c>
      <c r="AZ33" s="275">
        <f t="shared" si="0"/>
        <v>13.869040813993371</v>
      </c>
    </row>
    <row r="34" spans="1:53">
      <c r="A34" s="73" t="s">
        <v>964</v>
      </c>
      <c r="B34" s="70"/>
      <c r="C34" s="73"/>
      <c r="D34" s="73" t="s">
        <v>793</v>
      </c>
      <c r="E34" s="73"/>
      <c r="F34" s="73"/>
      <c r="G34" s="73"/>
      <c r="H34" s="73"/>
      <c r="I34" s="73"/>
      <c r="J34" s="73"/>
      <c r="K34" s="73"/>
      <c r="L34" s="73"/>
      <c r="M34" s="73"/>
      <c r="N34" s="73"/>
      <c r="O34" s="73"/>
      <c r="P34" s="73"/>
      <c r="Q34" s="73"/>
      <c r="R34" s="73"/>
      <c r="S34" s="73"/>
      <c r="U34" s="72">
        <v>110200</v>
      </c>
      <c r="V34" s="73" t="s">
        <v>964</v>
      </c>
      <c r="W34" s="73" t="s">
        <v>793</v>
      </c>
      <c r="Y34" t="s">
        <v>32</v>
      </c>
      <c r="Z34" t="str">
        <f>VLOOKUP(Y34,'Price Table 8 OHB'!A:B,2,FALSE)</f>
        <v>Management</v>
      </c>
      <c r="AC34" s="565"/>
      <c r="AZ34" s="275"/>
    </row>
    <row r="35" spans="1:53">
      <c r="A35" s="73"/>
      <c r="B35" s="70"/>
      <c r="C35" s="73"/>
      <c r="D35" s="73" t="s">
        <v>966</v>
      </c>
      <c r="E35" s="73"/>
      <c r="F35" s="73"/>
      <c r="G35" s="73"/>
      <c r="H35" s="73">
        <v>5</v>
      </c>
      <c r="I35" s="73">
        <v>5</v>
      </c>
      <c r="J35" s="73">
        <v>5</v>
      </c>
      <c r="K35" s="73">
        <v>5</v>
      </c>
      <c r="L35" s="73">
        <v>5</v>
      </c>
      <c r="M35" s="73">
        <v>5</v>
      </c>
      <c r="N35" s="73">
        <v>10</v>
      </c>
      <c r="O35" s="73">
        <v>3</v>
      </c>
      <c r="P35" s="73">
        <v>3</v>
      </c>
      <c r="Q35" s="73">
        <v>3</v>
      </c>
      <c r="R35" s="73">
        <v>3</v>
      </c>
      <c r="S35" s="73"/>
      <c r="U35" s="72">
        <v>110200</v>
      </c>
      <c r="V35" s="73" t="s">
        <v>964</v>
      </c>
      <c r="W35" s="73" t="s">
        <v>966</v>
      </c>
      <c r="Y35" t="s">
        <v>32</v>
      </c>
      <c r="Z35" t="str">
        <f>VLOOKUP(Y35,'Price Table 8 OHB'!A:B,2,FALSE)</f>
        <v>Management</v>
      </c>
      <c r="AC35" s="565">
        <v>2</v>
      </c>
      <c r="AD35">
        <v>3</v>
      </c>
      <c r="AE35">
        <f>I35/2</f>
        <v>2.5</v>
      </c>
      <c r="AF35">
        <f>I35/2</f>
        <v>2.5</v>
      </c>
      <c r="AG35">
        <f>J35/2</f>
        <v>2.5</v>
      </c>
      <c r="AH35">
        <f>J35/2</f>
        <v>2.5</v>
      </c>
      <c r="AI35">
        <f>K35/2</f>
        <v>2.5</v>
      </c>
      <c r="AJ35">
        <f>K35/2</f>
        <v>2.5</v>
      </c>
      <c r="AK35">
        <f>L35/2</f>
        <v>2.5</v>
      </c>
      <c r="AL35">
        <f>L35/2</f>
        <v>2.5</v>
      </c>
      <c r="AM35">
        <f>M35/2</f>
        <v>2.5</v>
      </c>
      <c r="AN35">
        <f>M35/2</f>
        <v>2.5</v>
      </c>
      <c r="AO35">
        <f>N35/2</f>
        <v>5</v>
      </c>
      <c r="AP35">
        <f>N35/2</f>
        <v>5</v>
      </c>
      <c r="AQ35">
        <f>O35/2</f>
        <v>1.5</v>
      </c>
      <c r="AR35">
        <f>O35/2</f>
        <v>1.5</v>
      </c>
      <c r="AS35">
        <f>P35/2</f>
        <v>1.5</v>
      </c>
      <c r="AT35">
        <f>P35/2</f>
        <v>1.5</v>
      </c>
      <c r="AU35">
        <f>Q35/2</f>
        <v>1.5</v>
      </c>
      <c r="AV35">
        <f>Q35/2</f>
        <v>1.5</v>
      </c>
      <c r="AW35">
        <f>R35/2</f>
        <v>1.5</v>
      </c>
      <c r="AX35">
        <f>R35/2</f>
        <v>1.5</v>
      </c>
      <c r="AZ35" s="275"/>
    </row>
    <row r="36" spans="1:53" ht="15.75" thickBot="1">
      <c r="A36" s="73"/>
      <c r="B36" s="70"/>
      <c r="C36" s="73"/>
      <c r="D36" s="73" t="s">
        <v>794</v>
      </c>
      <c r="E36" s="73"/>
      <c r="F36" s="73"/>
      <c r="G36" s="566"/>
      <c r="H36" s="73">
        <f t="shared" ref="H36:S36" si="1">H33+H34+H35</f>
        <v>32.738081627986745</v>
      </c>
      <c r="I36" s="73">
        <f t="shared" si="1"/>
        <v>106.70629930261804</v>
      </c>
      <c r="J36" s="73">
        <f>J33+J34+J35</f>
        <v>106.70629930261804</v>
      </c>
      <c r="K36" s="73">
        <f t="shared" si="1"/>
        <v>106.70629930261804</v>
      </c>
      <c r="L36" s="73">
        <f t="shared" si="1"/>
        <v>106.70629930261804</v>
      </c>
      <c r="M36" s="73">
        <f t="shared" si="1"/>
        <v>106.70629930261804</v>
      </c>
      <c r="N36" s="73">
        <f t="shared" si="1"/>
        <v>111.70629930261804</v>
      </c>
      <c r="O36" s="73">
        <f t="shared" si="1"/>
        <v>104.70629930261804</v>
      </c>
      <c r="P36" s="73">
        <f t="shared" si="1"/>
        <v>104.70629930261804</v>
      </c>
      <c r="Q36" s="73">
        <f t="shared" si="1"/>
        <v>104.70629930261804</v>
      </c>
      <c r="R36" s="73">
        <f t="shared" si="1"/>
        <v>30.738081627986741</v>
      </c>
      <c r="S36" s="73">
        <f t="shared" si="1"/>
        <v>27.738081627986741</v>
      </c>
      <c r="T36" s="77">
        <f>SUM(H36:S36)</f>
        <v>1050.5709386075227</v>
      </c>
      <c r="W36" s="73" t="s">
        <v>794</v>
      </c>
      <c r="AC36" s="567">
        <f>SUM(AC33:AC35)</f>
        <v>13.095232651194696</v>
      </c>
      <c r="AD36" s="265">
        <f t="shared" ref="AD36:AZ36" si="2">SUM(AD33:AD35)</f>
        <v>19.642848976792045</v>
      </c>
      <c r="AE36" s="265">
        <f t="shared" si="2"/>
        <v>53.353149651309018</v>
      </c>
      <c r="AF36" s="265">
        <f t="shared" si="2"/>
        <v>53.353149651309018</v>
      </c>
      <c r="AG36" s="265">
        <f t="shared" si="2"/>
        <v>53.353149651309018</v>
      </c>
      <c r="AH36" s="265">
        <f t="shared" si="2"/>
        <v>53.353149651309018</v>
      </c>
      <c r="AI36" s="265">
        <f t="shared" si="2"/>
        <v>53.353149651309018</v>
      </c>
      <c r="AJ36" s="265">
        <f t="shared" si="2"/>
        <v>53.353149651309018</v>
      </c>
      <c r="AK36" s="265">
        <f t="shared" si="2"/>
        <v>53.353149651309018</v>
      </c>
      <c r="AL36" s="265">
        <f t="shared" si="2"/>
        <v>53.353149651309018</v>
      </c>
      <c r="AM36" s="265">
        <f t="shared" si="2"/>
        <v>53.353149651309018</v>
      </c>
      <c r="AN36" s="265">
        <f t="shared" si="2"/>
        <v>53.353149651309018</v>
      </c>
      <c r="AO36" s="265">
        <f t="shared" si="2"/>
        <v>55.853149651309018</v>
      </c>
      <c r="AP36" s="265">
        <f t="shared" si="2"/>
        <v>55.853149651309018</v>
      </c>
      <c r="AQ36" s="265">
        <f t="shared" si="2"/>
        <v>52.353149651309018</v>
      </c>
      <c r="AR36" s="265">
        <f t="shared" si="2"/>
        <v>52.353149651309018</v>
      </c>
      <c r="AS36" s="265">
        <f t="shared" si="2"/>
        <v>52.353149651309018</v>
      </c>
      <c r="AT36" s="265">
        <f t="shared" si="2"/>
        <v>52.353149651309018</v>
      </c>
      <c r="AU36" s="265">
        <f t="shared" si="2"/>
        <v>52.353149651309018</v>
      </c>
      <c r="AV36" s="265">
        <f t="shared" si="2"/>
        <v>52.353149651309018</v>
      </c>
      <c r="AW36" s="265">
        <f t="shared" si="2"/>
        <v>15.369040813993371</v>
      </c>
      <c r="AX36" s="265">
        <f t="shared" si="2"/>
        <v>15.369040813993371</v>
      </c>
      <c r="AY36" s="265">
        <f t="shared" si="2"/>
        <v>13.869040813993371</v>
      </c>
      <c r="AZ36" s="276">
        <f t="shared" si="2"/>
        <v>13.869040813993371</v>
      </c>
      <c r="BA36" s="16">
        <f>SUM(AC36:AZ36)</f>
        <v>1050.5709386075223</v>
      </c>
    </row>
    <row r="37" spans="1:53" ht="30.75" thickBot="1">
      <c r="A37" s="73"/>
      <c r="B37" s="70"/>
      <c r="C37" s="73"/>
      <c r="D37" s="73"/>
      <c r="E37" s="73"/>
      <c r="F37" s="73"/>
      <c r="G37" s="73"/>
      <c r="H37" s="73"/>
      <c r="I37" s="73"/>
      <c r="J37" s="73"/>
      <c r="K37" s="73"/>
      <c r="L37" s="73"/>
      <c r="M37" s="73"/>
      <c r="N37" s="73"/>
      <c r="O37" s="73"/>
      <c r="P37" s="73"/>
      <c r="Q37" s="73"/>
      <c r="R37" s="73"/>
      <c r="S37" s="73"/>
      <c r="T37" s="79">
        <f>T36*1.1</f>
        <v>1155.628032468275</v>
      </c>
      <c r="W37" s="94" t="s">
        <v>967</v>
      </c>
      <c r="X37" s="562" t="s">
        <v>968</v>
      </c>
      <c r="AF37" s="568"/>
      <c r="AG37" s="568"/>
      <c r="AH37" s="568"/>
      <c r="AI37" s="568"/>
      <c r="AJ37" s="568"/>
      <c r="AK37" s="568"/>
      <c r="AL37" s="568"/>
      <c r="AM37" s="568"/>
      <c r="AN37" s="568"/>
      <c r="AO37" s="568"/>
      <c r="AP37" s="568"/>
      <c r="AQ37" s="568"/>
      <c r="AR37" s="568"/>
      <c r="AS37" s="568"/>
      <c r="AT37" s="568"/>
      <c r="AU37" s="568"/>
      <c r="AV37" s="568"/>
      <c r="AW37" s="568"/>
      <c r="AX37" s="568"/>
      <c r="AY37" s="568"/>
      <c r="AZ37" s="569"/>
    </row>
    <row r="38" spans="1:53">
      <c r="A38" t="s">
        <v>969</v>
      </c>
      <c r="D38" t="s">
        <v>791</v>
      </c>
      <c r="I38">
        <v>220</v>
      </c>
      <c r="J38">
        <v>220</v>
      </c>
      <c r="K38">
        <v>220</v>
      </c>
      <c r="L38">
        <v>220</v>
      </c>
      <c r="M38">
        <v>220</v>
      </c>
      <c r="N38">
        <v>300</v>
      </c>
      <c r="O38">
        <v>300</v>
      </c>
      <c r="P38">
        <v>300</v>
      </c>
      <c r="Q38">
        <v>330</v>
      </c>
      <c r="R38">
        <v>425</v>
      </c>
      <c r="S38">
        <v>200</v>
      </c>
      <c r="U38" s="16">
        <v>130220</v>
      </c>
      <c r="V38" t="s">
        <v>970</v>
      </c>
      <c r="W38" t="s">
        <v>791</v>
      </c>
      <c r="AC38" s="563"/>
      <c r="AD38" s="564"/>
      <c r="AE38" s="564"/>
      <c r="AF38" s="564">
        <v>220</v>
      </c>
      <c r="AG38" s="564">
        <f>J38/2</f>
        <v>110</v>
      </c>
      <c r="AH38" s="564">
        <f>J38/2</f>
        <v>110</v>
      </c>
      <c r="AI38" s="564">
        <f>K38/2</f>
        <v>110</v>
      </c>
      <c r="AJ38" s="564">
        <f>K38/2</f>
        <v>110</v>
      </c>
      <c r="AK38" s="564">
        <f>L38/2</f>
        <v>110</v>
      </c>
      <c r="AL38" s="564">
        <f>L38/2</f>
        <v>110</v>
      </c>
      <c r="AM38" s="564">
        <f>M38/2</f>
        <v>110</v>
      </c>
      <c r="AN38" s="564">
        <f>M38/2</f>
        <v>110</v>
      </c>
      <c r="AO38" s="564">
        <f>N38/2</f>
        <v>150</v>
      </c>
      <c r="AP38" s="564">
        <f>N38/2</f>
        <v>150</v>
      </c>
      <c r="AQ38" s="564">
        <f>O38/2</f>
        <v>150</v>
      </c>
      <c r="AR38" s="564">
        <f>O38/2</f>
        <v>150</v>
      </c>
      <c r="AS38" s="564">
        <f>P38/2</f>
        <v>150</v>
      </c>
      <c r="AT38" s="564">
        <f>P38/2</f>
        <v>150</v>
      </c>
      <c r="AU38" s="564">
        <f>Q38/2</f>
        <v>165</v>
      </c>
      <c r="AV38" s="564">
        <f>Q38/2</f>
        <v>165</v>
      </c>
      <c r="AW38" s="564">
        <f>R38/2</f>
        <v>212.5</v>
      </c>
      <c r="AX38" s="564">
        <f>R38/2</f>
        <v>212.5</v>
      </c>
      <c r="AY38" s="564">
        <f>S38/2</f>
        <v>100</v>
      </c>
      <c r="AZ38" s="274">
        <f>S38/2</f>
        <v>100</v>
      </c>
    </row>
    <row r="39" spans="1:53">
      <c r="A39" t="s">
        <v>970</v>
      </c>
      <c r="D39" t="s">
        <v>792</v>
      </c>
      <c r="H39">
        <f>H38*N30*0.001</f>
        <v>0</v>
      </c>
      <c r="I39">
        <f>I38*N30*0.001</f>
        <v>21.923707175793606</v>
      </c>
      <c r="J39">
        <f>J38*N30*0.001</f>
        <v>21.923707175793606</v>
      </c>
      <c r="K39">
        <f>K38*N30*0.001</f>
        <v>21.923707175793606</v>
      </c>
      <c r="L39">
        <f>L38*N30*0.001</f>
        <v>21.923707175793606</v>
      </c>
      <c r="M39">
        <f>M38*N30*0.001</f>
        <v>21.923707175793606</v>
      </c>
      <c r="N39">
        <f>N38*N30*0.001</f>
        <v>29.895964330627645</v>
      </c>
      <c r="O39">
        <f>O38*N30*0.001</f>
        <v>29.895964330627645</v>
      </c>
      <c r="P39">
        <f>P38*N30*0.001</f>
        <v>29.895964330627645</v>
      </c>
      <c r="Q39">
        <f>Q38*N30*0.001</f>
        <v>32.885560763690407</v>
      </c>
      <c r="R39">
        <f>R38*N30*0.001</f>
        <v>42.352616135055833</v>
      </c>
      <c r="S39">
        <f>S38*N30*0.001</f>
        <v>19.930642887085099</v>
      </c>
      <c r="U39" s="16">
        <v>130220</v>
      </c>
      <c r="V39" t="s">
        <v>970</v>
      </c>
      <c r="W39" t="s">
        <v>792</v>
      </c>
      <c r="Y39" t="s">
        <v>76</v>
      </c>
      <c r="Z39" t="str">
        <f>VLOOKUP(Y39,'Price Table 8 OHB'!A:B,2,FALSE)</f>
        <v>Product Assurance</v>
      </c>
      <c r="AC39" s="565">
        <f>AC38*$N$30*0.001</f>
        <v>0</v>
      </c>
      <c r="AD39">
        <f t="shared" ref="AD39:AZ39" si="3">AD38*$N$30*0.001</f>
        <v>0</v>
      </c>
      <c r="AE39">
        <f t="shared" si="3"/>
        <v>0</v>
      </c>
      <c r="AF39">
        <f t="shared" si="3"/>
        <v>21.923707175793606</v>
      </c>
      <c r="AG39">
        <f t="shared" si="3"/>
        <v>10.961853587896803</v>
      </c>
      <c r="AH39">
        <f t="shared" si="3"/>
        <v>10.961853587896803</v>
      </c>
      <c r="AI39">
        <f t="shared" si="3"/>
        <v>10.961853587896803</v>
      </c>
      <c r="AJ39">
        <f t="shared" si="3"/>
        <v>10.961853587896803</v>
      </c>
      <c r="AK39">
        <f t="shared" si="3"/>
        <v>10.961853587896803</v>
      </c>
      <c r="AL39">
        <f t="shared" si="3"/>
        <v>10.961853587896803</v>
      </c>
      <c r="AM39">
        <f t="shared" si="3"/>
        <v>10.961853587896803</v>
      </c>
      <c r="AN39">
        <f t="shared" si="3"/>
        <v>10.961853587896803</v>
      </c>
      <c r="AO39">
        <f t="shared" si="3"/>
        <v>14.947982165313823</v>
      </c>
      <c r="AP39">
        <f t="shared" si="3"/>
        <v>14.947982165313823</v>
      </c>
      <c r="AQ39">
        <f t="shared" si="3"/>
        <v>14.947982165313823</v>
      </c>
      <c r="AR39">
        <f t="shared" si="3"/>
        <v>14.947982165313823</v>
      </c>
      <c r="AS39">
        <f t="shared" si="3"/>
        <v>14.947982165313823</v>
      </c>
      <c r="AT39">
        <f t="shared" si="3"/>
        <v>14.947982165313823</v>
      </c>
      <c r="AU39">
        <f t="shared" si="3"/>
        <v>16.442780381845203</v>
      </c>
      <c r="AV39">
        <f t="shared" si="3"/>
        <v>16.442780381845203</v>
      </c>
      <c r="AW39">
        <f t="shared" si="3"/>
        <v>21.176308067527916</v>
      </c>
      <c r="AX39">
        <f t="shared" si="3"/>
        <v>21.176308067527916</v>
      </c>
      <c r="AY39">
        <f t="shared" si="3"/>
        <v>9.9653214435425497</v>
      </c>
      <c r="AZ39" s="275">
        <f t="shared" si="3"/>
        <v>9.9653214435425497</v>
      </c>
    </row>
    <row r="40" spans="1:53">
      <c r="D40" t="s">
        <v>793</v>
      </c>
      <c r="U40" s="16">
        <v>130220</v>
      </c>
      <c r="V40" t="s">
        <v>970</v>
      </c>
      <c r="W40" t="s">
        <v>793</v>
      </c>
      <c r="Y40" t="s">
        <v>76</v>
      </c>
      <c r="Z40" t="str">
        <f>VLOOKUP(Y40,'Price Table 8 OHB'!A:B,2,FALSE)</f>
        <v>Product Assurance</v>
      </c>
      <c r="AC40" s="565"/>
      <c r="AZ40" s="275"/>
    </row>
    <row r="41" spans="1:53">
      <c r="D41" t="s">
        <v>966</v>
      </c>
      <c r="U41" s="16">
        <v>130220</v>
      </c>
      <c r="V41" t="s">
        <v>970</v>
      </c>
      <c r="W41" t="s">
        <v>966</v>
      </c>
      <c r="Y41" t="s">
        <v>76</v>
      </c>
      <c r="Z41" t="str">
        <f>VLOOKUP(Y41,'Price Table 8 OHB'!A:B,2,FALSE)</f>
        <v>Product Assurance</v>
      </c>
      <c r="AC41" s="565"/>
      <c r="AZ41" s="275"/>
    </row>
    <row r="42" spans="1:53" ht="15.75" thickBot="1">
      <c r="D42" t="s">
        <v>794</v>
      </c>
      <c r="G42" s="570"/>
      <c r="H42">
        <f t="shared" ref="H42:S42" si="4">H39+H40+H41</f>
        <v>0</v>
      </c>
      <c r="I42">
        <f t="shared" si="4"/>
        <v>21.923707175793606</v>
      </c>
      <c r="J42">
        <f>J39+J40+J41</f>
        <v>21.923707175793606</v>
      </c>
      <c r="K42">
        <f t="shared" si="4"/>
        <v>21.923707175793606</v>
      </c>
      <c r="L42">
        <f t="shared" si="4"/>
        <v>21.923707175793606</v>
      </c>
      <c r="M42">
        <f t="shared" si="4"/>
        <v>21.923707175793606</v>
      </c>
      <c r="N42">
        <f t="shared" si="4"/>
        <v>29.895964330627645</v>
      </c>
      <c r="O42">
        <f t="shared" si="4"/>
        <v>29.895964330627645</v>
      </c>
      <c r="P42">
        <f t="shared" si="4"/>
        <v>29.895964330627645</v>
      </c>
      <c r="Q42">
        <f t="shared" si="4"/>
        <v>32.885560763690407</v>
      </c>
      <c r="R42">
        <f t="shared" si="4"/>
        <v>42.352616135055833</v>
      </c>
      <c r="S42">
        <f t="shared" si="4"/>
        <v>19.930642887085099</v>
      </c>
      <c r="T42">
        <f>SUM(H42:S42)</f>
        <v>294.47524865668231</v>
      </c>
      <c r="W42" t="s">
        <v>794</v>
      </c>
      <c r="AC42" s="567">
        <f>AY44</f>
        <v>0</v>
      </c>
      <c r="AD42" s="265">
        <f t="shared" ref="AD42:AZ42" si="5">SUM(AD39:AD41)</f>
        <v>0</v>
      </c>
      <c r="AE42" s="265">
        <f t="shared" si="5"/>
        <v>0</v>
      </c>
      <c r="AF42" s="265">
        <f t="shared" si="5"/>
        <v>21.923707175793606</v>
      </c>
      <c r="AG42" s="265">
        <f t="shared" si="5"/>
        <v>10.961853587896803</v>
      </c>
      <c r="AH42" s="265">
        <f t="shared" si="5"/>
        <v>10.961853587896803</v>
      </c>
      <c r="AI42" s="265">
        <f t="shared" si="5"/>
        <v>10.961853587896803</v>
      </c>
      <c r="AJ42" s="265">
        <f t="shared" si="5"/>
        <v>10.961853587896803</v>
      </c>
      <c r="AK42" s="265">
        <f t="shared" si="5"/>
        <v>10.961853587896803</v>
      </c>
      <c r="AL42" s="265">
        <f t="shared" si="5"/>
        <v>10.961853587896803</v>
      </c>
      <c r="AM42" s="265">
        <f t="shared" si="5"/>
        <v>10.961853587896803</v>
      </c>
      <c r="AN42" s="265">
        <f t="shared" si="5"/>
        <v>10.961853587896803</v>
      </c>
      <c r="AO42" s="265">
        <f t="shared" si="5"/>
        <v>14.947982165313823</v>
      </c>
      <c r="AP42" s="265">
        <f t="shared" si="5"/>
        <v>14.947982165313823</v>
      </c>
      <c r="AQ42" s="265">
        <f t="shared" si="5"/>
        <v>14.947982165313823</v>
      </c>
      <c r="AR42" s="265">
        <f t="shared" si="5"/>
        <v>14.947982165313823</v>
      </c>
      <c r="AS42" s="265">
        <f t="shared" si="5"/>
        <v>14.947982165313823</v>
      </c>
      <c r="AT42" s="265">
        <f t="shared" si="5"/>
        <v>14.947982165313823</v>
      </c>
      <c r="AU42" s="265">
        <f t="shared" si="5"/>
        <v>16.442780381845203</v>
      </c>
      <c r="AV42" s="265">
        <f t="shared" si="5"/>
        <v>16.442780381845203</v>
      </c>
      <c r="AW42" s="265">
        <f t="shared" si="5"/>
        <v>21.176308067527916</v>
      </c>
      <c r="AX42" s="265">
        <f t="shared" si="5"/>
        <v>21.176308067527916</v>
      </c>
      <c r="AY42" s="265">
        <f t="shared" si="5"/>
        <v>9.9653214435425497</v>
      </c>
      <c r="AZ42" s="276">
        <f t="shared" si="5"/>
        <v>9.9653214435425497</v>
      </c>
      <c r="BA42" s="16">
        <f>SUM(AC42:AZ42)</f>
        <v>294.47524865668231</v>
      </c>
    </row>
    <row r="43" spans="1:53" ht="30.75" thickBot="1">
      <c r="A43" s="90"/>
      <c r="B43" s="91"/>
      <c r="C43" s="90"/>
      <c r="D43" s="90"/>
      <c r="E43" s="90"/>
      <c r="F43" s="90"/>
      <c r="G43" s="90"/>
      <c r="H43" s="90"/>
      <c r="I43" s="90"/>
      <c r="J43" s="90"/>
      <c r="K43" s="90"/>
      <c r="L43" s="90"/>
      <c r="M43" s="90"/>
      <c r="N43" s="90"/>
      <c r="O43" s="90"/>
      <c r="P43" s="90"/>
      <c r="Q43" s="90"/>
      <c r="R43" s="90"/>
      <c r="S43" s="90"/>
      <c r="W43" s="94" t="s">
        <v>971</v>
      </c>
      <c r="X43" s="562" t="s">
        <v>972</v>
      </c>
      <c r="AF43" s="568"/>
      <c r="AG43" s="568"/>
      <c r="AH43" s="568"/>
      <c r="AI43" s="568"/>
      <c r="AJ43" s="568"/>
      <c r="AK43" s="568"/>
      <c r="AL43" s="568"/>
      <c r="AM43" s="568"/>
      <c r="AN43" s="568"/>
      <c r="AO43" s="568"/>
      <c r="AP43" s="568"/>
      <c r="AQ43" s="568"/>
      <c r="AR43" s="568"/>
      <c r="AS43" s="568"/>
      <c r="AT43" s="568"/>
      <c r="AU43" s="568"/>
      <c r="AV43" s="568"/>
      <c r="AW43" s="568"/>
    </row>
    <row r="44" spans="1:53">
      <c r="A44" t="s">
        <v>973</v>
      </c>
      <c r="D44" t="s">
        <v>791</v>
      </c>
      <c r="H44">
        <v>0</v>
      </c>
      <c r="I44">
        <v>825</v>
      </c>
      <c r="J44">
        <v>825</v>
      </c>
      <c r="K44">
        <v>825</v>
      </c>
      <c r="L44">
        <v>825</v>
      </c>
      <c r="M44">
        <v>825</v>
      </c>
      <c r="N44">
        <v>825</v>
      </c>
      <c r="O44">
        <v>825</v>
      </c>
      <c r="P44">
        <v>825</v>
      </c>
      <c r="Q44">
        <v>825</v>
      </c>
      <c r="U44" s="16">
        <v>130210</v>
      </c>
      <c r="V44" t="s">
        <v>974</v>
      </c>
      <c r="W44" t="s">
        <v>791</v>
      </c>
      <c r="AC44" s="563"/>
      <c r="AD44" s="564"/>
      <c r="AE44" s="564"/>
      <c r="AF44" s="564">
        <f>SUM($H$44:$S$44)/18</f>
        <v>412.5</v>
      </c>
      <c r="AG44" s="564">
        <f t="shared" ref="AG44:AW44" si="6">SUM($H$44:$S$44)/18</f>
        <v>412.5</v>
      </c>
      <c r="AH44" s="564">
        <f t="shared" si="6"/>
        <v>412.5</v>
      </c>
      <c r="AI44" s="564">
        <f t="shared" si="6"/>
        <v>412.5</v>
      </c>
      <c r="AJ44" s="564">
        <f t="shared" si="6"/>
        <v>412.5</v>
      </c>
      <c r="AK44" s="564">
        <f t="shared" si="6"/>
        <v>412.5</v>
      </c>
      <c r="AL44" s="564">
        <f t="shared" si="6"/>
        <v>412.5</v>
      </c>
      <c r="AM44" s="564">
        <f t="shared" si="6"/>
        <v>412.5</v>
      </c>
      <c r="AN44" s="564">
        <f t="shared" si="6"/>
        <v>412.5</v>
      </c>
      <c r="AO44" s="564">
        <f t="shared" si="6"/>
        <v>412.5</v>
      </c>
      <c r="AP44" s="564">
        <f t="shared" si="6"/>
        <v>412.5</v>
      </c>
      <c r="AQ44" s="564">
        <f t="shared" si="6"/>
        <v>412.5</v>
      </c>
      <c r="AR44" s="564">
        <f t="shared" si="6"/>
        <v>412.5</v>
      </c>
      <c r="AS44" s="564">
        <f t="shared" si="6"/>
        <v>412.5</v>
      </c>
      <c r="AT44" s="564">
        <f t="shared" si="6"/>
        <v>412.5</v>
      </c>
      <c r="AU44" s="564">
        <f t="shared" si="6"/>
        <v>412.5</v>
      </c>
      <c r="AV44" s="564">
        <f t="shared" si="6"/>
        <v>412.5</v>
      </c>
      <c r="AW44" s="564">
        <f t="shared" si="6"/>
        <v>412.5</v>
      </c>
      <c r="AX44" s="564"/>
      <c r="AY44" s="564"/>
      <c r="AZ44" s="274"/>
    </row>
    <row r="45" spans="1:53">
      <c r="A45" t="s">
        <v>974</v>
      </c>
      <c r="D45" t="s">
        <v>792</v>
      </c>
      <c r="H45">
        <f>H44*N30*0.001</f>
        <v>0</v>
      </c>
      <c r="I45">
        <f>I44*N30*0.001</f>
        <v>82.213901909226024</v>
      </c>
      <c r="J45">
        <f>J44*N30*0.001</f>
        <v>82.213901909226024</v>
      </c>
      <c r="K45">
        <f>K44*N30*0.001</f>
        <v>82.213901909226024</v>
      </c>
      <c r="L45">
        <f>L44*N30*0.001</f>
        <v>82.213901909226024</v>
      </c>
      <c r="M45">
        <f>M44*N30*0.001</f>
        <v>82.213901909226024</v>
      </c>
      <c r="N45">
        <f>N44*N30*0.001</f>
        <v>82.213901909226024</v>
      </c>
      <c r="O45">
        <f>O44*N30*0.001</f>
        <v>82.213901909226024</v>
      </c>
      <c r="P45">
        <f>P44*N30*0.001</f>
        <v>82.213901909226024</v>
      </c>
      <c r="Q45">
        <f>Q44*N30*0.001</f>
        <v>82.213901909226024</v>
      </c>
      <c r="R45">
        <f>R44*N30*0.001</f>
        <v>0</v>
      </c>
      <c r="S45">
        <f>S44*N30*0.001</f>
        <v>0</v>
      </c>
      <c r="U45" s="16">
        <v>130210</v>
      </c>
      <c r="V45" t="s">
        <v>974</v>
      </c>
      <c r="W45" t="s">
        <v>792</v>
      </c>
      <c r="Y45" t="s">
        <v>76</v>
      </c>
      <c r="Z45" t="str">
        <f>VLOOKUP(Y45,'Price Table 8 OHB'!A:B,2,FALSE)</f>
        <v>Product Assurance</v>
      </c>
      <c r="AC45" s="565">
        <f>AC44*$N$30*0.001</f>
        <v>0</v>
      </c>
      <c r="AD45">
        <f t="shared" ref="AD45:AZ45" si="7">AD44*$N$30*0.001</f>
        <v>0</v>
      </c>
      <c r="AE45">
        <f t="shared" si="7"/>
        <v>0</v>
      </c>
      <c r="AF45">
        <f t="shared" si="7"/>
        <v>41.106950954613012</v>
      </c>
      <c r="AG45">
        <f t="shared" si="7"/>
        <v>41.106950954613012</v>
      </c>
      <c r="AH45">
        <f t="shared" si="7"/>
        <v>41.106950954613012</v>
      </c>
      <c r="AI45">
        <f t="shared" si="7"/>
        <v>41.106950954613012</v>
      </c>
      <c r="AJ45">
        <f t="shared" si="7"/>
        <v>41.106950954613012</v>
      </c>
      <c r="AK45">
        <f t="shared" si="7"/>
        <v>41.106950954613012</v>
      </c>
      <c r="AL45">
        <f t="shared" si="7"/>
        <v>41.106950954613012</v>
      </c>
      <c r="AM45">
        <f t="shared" si="7"/>
        <v>41.106950954613012</v>
      </c>
      <c r="AN45">
        <f t="shared" si="7"/>
        <v>41.106950954613012</v>
      </c>
      <c r="AO45">
        <f t="shared" si="7"/>
        <v>41.106950954613012</v>
      </c>
      <c r="AP45">
        <f t="shared" si="7"/>
        <v>41.106950954613012</v>
      </c>
      <c r="AQ45">
        <f t="shared" si="7"/>
        <v>41.106950954613012</v>
      </c>
      <c r="AR45">
        <f t="shared" si="7"/>
        <v>41.106950954613012</v>
      </c>
      <c r="AS45">
        <f t="shared" si="7"/>
        <v>41.106950954613012</v>
      </c>
      <c r="AT45">
        <f t="shared" si="7"/>
        <v>41.106950954613012</v>
      </c>
      <c r="AU45">
        <f t="shared" si="7"/>
        <v>41.106950954613012</v>
      </c>
      <c r="AV45">
        <f t="shared" si="7"/>
        <v>41.106950954613012</v>
      </c>
      <c r="AW45">
        <f t="shared" si="7"/>
        <v>41.106950954613012</v>
      </c>
      <c r="AX45">
        <f t="shared" si="7"/>
        <v>0</v>
      </c>
      <c r="AY45">
        <f t="shared" si="7"/>
        <v>0</v>
      </c>
      <c r="AZ45" s="275">
        <f t="shared" si="7"/>
        <v>0</v>
      </c>
    </row>
    <row r="46" spans="1:53">
      <c r="D46" t="s">
        <v>793</v>
      </c>
      <c r="U46" s="16">
        <v>130210</v>
      </c>
      <c r="V46" t="s">
        <v>974</v>
      </c>
      <c r="W46" t="s">
        <v>793</v>
      </c>
      <c r="Y46" t="s">
        <v>76</v>
      </c>
      <c r="Z46" t="str">
        <f>VLOOKUP(Y46,'Price Table 8 OHB'!A:B,2,FALSE)</f>
        <v>Product Assurance</v>
      </c>
      <c r="AC46" s="565"/>
      <c r="AZ46" s="275"/>
    </row>
    <row r="47" spans="1:53">
      <c r="D47" t="s">
        <v>966</v>
      </c>
      <c r="I47">
        <v>20</v>
      </c>
      <c r="J47">
        <v>10</v>
      </c>
      <c r="K47">
        <v>10</v>
      </c>
      <c r="L47">
        <v>20</v>
      </c>
      <c r="M47">
        <v>5</v>
      </c>
      <c r="U47" s="16">
        <v>130210</v>
      </c>
      <c r="V47" t="s">
        <v>974</v>
      </c>
      <c r="W47" t="s">
        <v>966</v>
      </c>
      <c r="Y47" t="s">
        <v>76</v>
      </c>
      <c r="Z47" t="str">
        <f>VLOOKUP(Y47,'Price Table 8 OHB'!A:B,2,FALSE)</f>
        <v>Product Assurance</v>
      </c>
      <c r="AC47" s="565"/>
      <c r="AF47">
        <f>I47</f>
        <v>20</v>
      </c>
      <c r="AG47">
        <f>J47/2</f>
        <v>5</v>
      </c>
      <c r="AH47">
        <f>J47/2</f>
        <v>5</v>
      </c>
      <c r="AI47">
        <f>K47/2</f>
        <v>5</v>
      </c>
      <c r="AJ47">
        <f>K47/2</f>
        <v>5</v>
      </c>
      <c r="AK47">
        <f>L47/2</f>
        <v>10</v>
      </c>
      <c r="AL47">
        <f>L47/2</f>
        <v>10</v>
      </c>
      <c r="AM47">
        <f>M47/2</f>
        <v>2.5</v>
      </c>
      <c r="AN47">
        <f>M47/2</f>
        <v>2.5</v>
      </c>
      <c r="AZ47" s="275"/>
    </row>
    <row r="48" spans="1:53" ht="15.75" thickBot="1">
      <c r="D48" t="s">
        <v>794</v>
      </c>
      <c r="G48" s="570"/>
      <c r="H48">
        <f>H45+H46+H47</f>
        <v>0</v>
      </c>
      <c r="I48">
        <f>I45+I46+I47</f>
        <v>102.21390190922602</v>
      </c>
      <c r="J48">
        <f t="shared" ref="J48:S48" si="8">J45+J46+J47</f>
        <v>92.213901909226024</v>
      </c>
      <c r="K48">
        <f t="shared" si="8"/>
        <v>92.213901909226024</v>
      </c>
      <c r="L48">
        <f t="shared" si="8"/>
        <v>102.21390190922602</v>
      </c>
      <c r="M48">
        <f t="shared" si="8"/>
        <v>87.213901909226024</v>
      </c>
      <c r="N48">
        <f t="shared" si="8"/>
        <v>82.213901909226024</v>
      </c>
      <c r="O48">
        <f t="shared" si="8"/>
        <v>82.213901909226024</v>
      </c>
      <c r="P48">
        <f t="shared" si="8"/>
        <v>82.213901909226024</v>
      </c>
      <c r="Q48">
        <f t="shared" si="8"/>
        <v>82.213901909226024</v>
      </c>
      <c r="R48">
        <f t="shared" si="8"/>
        <v>0</v>
      </c>
      <c r="S48">
        <f t="shared" si="8"/>
        <v>0</v>
      </c>
      <c r="T48" s="92">
        <f>SUM(H48:S48)</f>
        <v>804.92511718303422</v>
      </c>
      <c r="W48" t="s">
        <v>794</v>
      </c>
      <c r="AC48" s="567">
        <f>SUM(AC45:AC47)</f>
        <v>0</v>
      </c>
      <c r="AD48" s="265">
        <f t="shared" ref="AD48:AZ48" si="9">SUM(AD45:AD47)</f>
        <v>0</v>
      </c>
      <c r="AE48" s="265">
        <f t="shared" si="9"/>
        <v>0</v>
      </c>
      <c r="AF48" s="265">
        <f t="shared" si="9"/>
        <v>61.106950954613012</v>
      </c>
      <c r="AG48" s="265">
        <f t="shared" si="9"/>
        <v>46.106950954613012</v>
      </c>
      <c r="AH48" s="265">
        <f t="shared" si="9"/>
        <v>46.106950954613012</v>
      </c>
      <c r="AI48" s="265">
        <f t="shared" si="9"/>
        <v>46.106950954613012</v>
      </c>
      <c r="AJ48" s="265">
        <f t="shared" si="9"/>
        <v>46.106950954613012</v>
      </c>
      <c r="AK48" s="265">
        <f t="shared" si="9"/>
        <v>51.106950954613012</v>
      </c>
      <c r="AL48" s="265">
        <f t="shared" si="9"/>
        <v>51.106950954613012</v>
      </c>
      <c r="AM48" s="265">
        <f t="shared" si="9"/>
        <v>43.606950954613012</v>
      </c>
      <c r="AN48" s="265">
        <f t="shared" si="9"/>
        <v>43.606950954613012</v>
      </c>
      <c r="AO48" s="265">
        <f t="shared" si="9"/>
        <v>41.106950954613012</v>
      </c>
      <c r="AP48" s="265">
        <f t="shared" si="9"/>
        <v>41.106950954613012</v>
      </c>
      <c r="AQ48" s="265">
        <f t="shared" si="9"/>
        <v>41.106950954613012</v>
      </c>
      <c r="AR48" s="265">
        <f t="shared" si="9"/>
        <v>41.106950954613012</v>
      </c>
      <c r="AS48" s="265">
        <f t="shared" si="9"/>
        <v>41.106950954613012</v>
      </c>
      <c r="AT48" s="265">
        <f t="shared" si="9"/>
        <v>41.106950954613012</v>
      </c>
      <c r="AU48" s="265">
        <f t="shared" si="9"/>
        <v>41.106950954613012</v>
      </c>
      <c r="AV48" s="265">
        <f t="shared" si="9"/>
        <v>41.106950954613012</v>
      </c>
      <c r="AW48" s="265">
        <f t="shared" si="9"/>
        <v>41.106950954613012</v>
      </c>
      <c r="AX48" s="265">
        <f t="shared" si="9"/>
        <v>0</v>
      </c>
      <c r="AY48" s="265">
        <f t="shared" si="9"/>
        <v>0</v>
      </c>
      <c r="AZ48" s="276">
        <f t="shared" si="9"/>
        <v>0</v>
      </c>
      <c r="BA48" s="16">
        <f>SUM(AC48:AZ48)</f>
        <v>804.92511718303422</v>
      </c>
    </row>
    <row r="49" spans="1:53" ht="15.75" thickBot="1">
      <c r="A49" s="73"/>
      <c r="B49" s="70"/>
      <c r="C49" s="73"/>
      <c r="D49" s="73"/>
      <c r="E49" s="73"/>
      <c r="F49" s="73"/>
      <c r="G49" s="566"/>
      <c r="H49" s="73"/>
      <c r="I49" s="73"/>
      <c r="J49" s="73"/>
      <c r="K49" s="73"/>
      <c r="L49" s="73"/>
      <c r="M49" s="73"/>
      <c r="N49" s="73"/>
      <c r="O49" s="73"/>
      <c r="P49" s="73"/>
      <c r="Q49" s="73"/>
      <c r="R49" s="73"/>
      <c r="S49" s="73"/>
      <c r="T49" s="92"/>
      <c r="W49" s="72" t="s">
        <v>975</v>
      </c>
    </row>
    <row r="50" spans="1:53">
      <c r="A50" s="73" t="s">
        <v>975</v>
      </c>
      <c r="B50" s="70"/>
      <c r="C50" s="73"/>
      <c r="D50" s="73" t="s">
        <v>791</v>
      </c>
      <c r="E50" s="73"/>
      <c r="F50" s="73"/>
      <c r="G50" s="566"/>
      <c r="H50" s="73">
        <f>H38+H44</f>
        <v>0</v>
      </c>
      <c r="I50" s="73">
        <f>I38+I44</f>
        <v>1045</v>
      </c>
      <c r="J50" s="73">
        <f t="shared" ref="J50:S50" si="10">J38+J44</f>
        <v>1045</v>
      </c>
      <c r="K50" s="73">
        <f t="shared" si="10"/>
        <v>1045</v>
      </c>
      <c r="L50" s="73">
        <f t="shared" si="10"/>
        <v>1045</v>
      </c>
      <c r="M50" s="73">
        <f t="shared" si="10"/>
        <v>1045</v>
      </c>
      <c r="N50" s="73">
        <f t="shared" si="10"/>
        <v>1125</v>
      </c>
      <c r="O50" s="73">
        <f t="shared" si="10"/>
        <v>1125</v>
      </c>
      <c r="P50" s="73">
        <f t="shared" si="10"/>
        <v>1125</v>
      </c>
      <c r="Q50" s="73">
        <f t="shared" si="10"/>
        <v>1155</v>
      </c>
      <c r="R50" s="73">
        <f t="shared" si="10"/>
        <v>425</v>
      </c>
      <c r="S50" s="73">
        <f t="shared" si="10"/>
        <v>200</v>
      </c>
      <c r="T50" s="92"/>
      <c r="V50" s="72" t="s">
        <v>975</v>
      </c>
      <c r="W50" s="73" t="s">
        <v>791</v>
      </c>
      <c r="AC50" s="571">
        <f>SUM(AC38,AC44)</f>
        <v>0</v>
      </c>
      <c r="AD50" s="572">
        <f t="shared" ref="AD50:AZ50" si="11">SUM(AD38,AD44)</f>
        <v>0</v>
      </c>
      <c r="AE50" s="572">
        <f t="shared" si="11"/>
        <v>0</v>
      </c>
      <c r="AF50" s="572">
        <f t="shared" si="11"/>
        <v>632.5</v>
      </c>
      <c r="AG50" s="572">
        <f t="shared" si="11"/>
        <v>522.5</v>
      </c>
      <c r="AH50" s="572">
        <f t="shared" si="11"/>
        <v>522.5</v>
      </c>
      <c r="AI50" s="572">
        <f t="shared" si="11"/>
        <v>522.5</v>
      </c>
      <c r="AJ50" s="572">
        <f t="shared" si="11"/>
        <v>522.5</v>
      </c>
      <c r="AK50" s="572">
        <f t="shared" si="11"/>
        <v>522.5</v>
      </c>
      <c r="AL50" s="572">
        <f t="shared" si="11"/>
        <v>522.5</v>
      </c>
      <c r="AM50" s="572">
        <f t="shared" si="11"/>
        <v>522.5</v>
      </c>
      <c r="AN50" s="572">
        <f t="shared" si="11"/>
        <v>522.5</v>
      </c>
      <c r="AO50" s="572">
        <f t="shared" si="11"/>
        <v>562.5</v>
      </c>
      <c r="AP50" s="572">
        <f t="shared" si="11"/>
        <v>562.5</v>
      </c>
      <c r="AQ50" s="572">
        <f t="shared" si="11"/>
        <v>562.5</v>
      </c>
      <c r="AR50" s="572">
        <f t="shared" si="11"/>
        <v>562.5</v>
      </c>
      <c r="AS50" s="572">
        <f t="shared" si="11"/>
        <v>562.5</v>
      </c>
      <c r="AT50" s="572">
        <f t="shared" si="11"/>
        <v>562.5</v>
      </c>
      <c r="AU50" s="572">
        <f t="shared" si="11"/>
        <v>577.5</v>
      </c>
      <c r="AV50" s="572">
        <f t="shared" si="11"/>
        <v>577.5</v>
      </c>
      <c r="AW50" s="572">
        <f t="shared" si="11"/>
        <v>625</v>
      </c>
      <c r="AX50" s="572">
        <f t="shared" si="11"/>
        <v>212.5</v>
      </c>
      <c r="AY50" s="572">
        <f t="shared" si="11"/>
        <v>100</v>
      </c>
      <c r="AZ50" s="573">
        <f t="shared" si="11"/>
        <v>100</v>
      </c>
      <c r="BA50">
        <f t="shared" ref="BA50:BA53" si="12">SUM(AC50:AZ50)</f>
        <v>10380</v>
      </c>
    </row>
    <row r="51" spans="1:53">
      <c r="A51" s="73"/>
      <c r="B51" s="70"/>
      <c r="C51" s="73"/>
      <c r="D51" s="73" t="s">
        <v>792</v>
      </c>
      <c r="E51" s="73"/>
      <c r="F51" s="73"/>
      <c r="G51" s="566"/>
      <c r="H51" s="73">
        <f>H50*N30*0.001</f>
        <v>0</v>
      </c>
      <c r="I51" s="73">
        <f>I50*N30*0.001</f>
        <v>104.13760908501963</v>
      </c>
      <c r="J51" s="73">
        <f>J50*N30*0.001</f>
        <v>104.13760908501963</v>
      </c>
      <c r="K51" s="73">
        <f>K50*N30*0.001</f>
        <v>104.13760908501963</v>
      </c>
      <c r="L51" s="73">
        <f>L50*N30*0.001</f>
        <v>104.13760908501963</v>
      </c>
      <c r="M51" s="73">
        <f>M50*N30*0.001</f>
        <v>104.13760908501963</v>
      </c>
      <c r="N51" s="73">
        <f>N50*N30*0.001</f>
        <v>112.10986623985367</v>
      </c>
      <c r="O51" s="73">
        <f>O50*N30*0.001</f>
        <v>112.10986623985367</v>
      </c>
      <c r="P51" s="73">
        <f>P50*N30*0.001</f>
        <v>112.10986623985367</v>
      </c>
      <c r="Q51" s="73">
        <f>Q50*N30*0.001</f>
        <v>115.09946267291643</v>
      </c>
      <c r="R51" s="73">
        <f>R50*N30*0.001</f>
        <v>42.352616135055833</v>
      </c>
      <c r="S51" s="73">
        <f>S50*N30*0.001</f>
        <v>19.930642887085099</v>
      </c>
      <c r="T51" s="92"/>
      <c r="V51" s="72" t="s">
        <v>975</v>
      </c>
      <c r="W51" s="73" t="s">
        <v>792</v>
      </c>
      <c r="AC51" s="574">
        <f t="shared" ref="AC51:AZ54" si="13">SUM(AC39,AC45)</f>
        <v>0</v>
      </c>
      <c r="AD51" s="73">
        <f t="shared" si="13"/>
        <v>0</v>
      </c>
      <c r="AE51" s="73">
        <f t="shared" si="13"/>
        <v>0</v>
      </c>
      <c r="AF51" s="73">
        <f t="shared" si="13"/>
        <v>63.030658130406621</v>
      </c>
      <c r="AG51" s="73">
        <f t="shared" si="13"/>
        <v>52.068804542509817</v>
      </c>
      <c r="AH51" s="73">
        <f t="shared" si="13"/>
        <v>52.068804542509817</v>
      </c>
      <c r="AI51" s="73">
        <f t="shared" si="13"/>
        <v>52.068804542509817</v>
      </c>
      <c r="AJ51" s="73">
        <f t="shared" si="13"/>
        <v>52.068804542509817</v>
      </c>
      <c r="AK51" s="73">
        <f t="shared" si="13"/>
        <v>52.068804542509817</v>
      </c>
      <c r="AL51" s="73">
        <f t="shared" si="13"/>
        <v>52.068804542509817</v>
      </c>
      <c r="AM51" s="73">
        <f t="shared" si="13"/>
        <v>52.068804542509817</v>
      </c>
      <c r="AN51" s="73">
        <f t="shared" si="13"/>
        <v>52.068804542509817</v>
      </c>
      <c r="AO51" s="73">
        <f t="shared" si="13"/>
        <v>56.054933119926837</v>
      </c>
      <c r="AP51" s="73">
        <f t="shared" si="13"/>
        <v>56.054933119926837</v>
      </c>
      <c r="AQ51" s="73">
        <f t="shared" si="13"/>
        <v>56.054933119926837</v>
      </c>
      <c r="AR51" s="73">
        <f t="shared" si="13"/>
        <v>56.054933119926837</v>
      </c>
      <c r="AS51" s="73">
        <f t="shared" si="13"/>
        <v>56.054933119926837</v>
      </c>
      <c r="AT51" s="73">
        <f t="shared" si="13"/>
        <v>56.054933119926837</v>
      </c>
      <c r="AU51" s="73">
        <f t="shared" si="13"/>
        <v>57.549731336458215</v>
      </c>
      <c r="AV51" s="73">
        <f t="shared" si="13"/>
        <v>57.549731336458215</v>
      </c>
      <c r="AW51" s="73">
        <f t="shared" si="13"/>
        <v>62.283259022140925</v>
      </c>
      <c r="AX51" s="73">
        <f t="shared" si="13"/>
        <v>21.176308067527916</v>
      </c>
      <c r="AY51" s="73">
        <f t="shared" si="13"/>
        <v>9.9653214435425497</v>
      </c>
      <c r="AZ51" s="575">
        <f t="shared" si="13"/>
        <v>9.9653214435425497</v>
      </c>
      <c r="BA51">
        <f t="shared" si="12"/>
        <v>1034.4003658397169</v>
      </c>
    </row>
    <row r="52" spans="1:53">
      <c r="A52" s="73"/>
      <c r="B52" s="70"/>
      <c r="C52" s="73"/>
      <c r="D52" s="73" t="s">
        <v>976</v>
      </c>
      <c r="E52" s="73"/>
      <c r="F52" s="73"/>
      <c r="G52" s="566"/>
      <c r="H52" s="73">
        <f>H40+H46</f>
        <v>0</v>
      </c>
      <c r="I52" s="73">
        <f>I40+I46</f>
        <v>0</v>
      </c>
      <c r="J52" s="73">
        <f t="shared" ref="J52:N53" si="14">J40+J46</f>
        <v>0</v>
      </c>
      <c r="K52" s="73">
        <f t="shared" si="14"/>
        <v>0</v>
      </c>
      <c r="L52" s="73">
        <f t="shared" si="14"/>
        <v>0</v>
      </c>
      <c r="M52" s="73">
        <f t="shared" si="14"/>
        <v>0</v>
      </c>
      <c r="N52" s="73">
        <f t="shared" si="14"/>
        <v>0</v>
      </c>
      <c r="O52" s="73">
        <f>O46+O40</f>
        <v>0</v>
      </c>
      <c r="P52" s="73">
        <f t="shared" ref="P52:S53" si="15">P40+P46</f>
        <v>0</v>
      </c>
      <c r="Q52" s="73">
        <f t="shared" si="15"/>
        <v>0</v>
      </c>
      <c r="R52" s="73">
        <f t="shared" si="15"/>
        <v>0</v>
      </c>
      <c r="S52" s="73">
        <f t="shared" si="15"/>
        <v>0</v>
      </c>
      <c r="T52" s="92"/>
      <c r="V52" s="72" t="s">
        <v>975</v>
      </c>
      <c r="W52" s="73" t="s">
        <v>976</v>
      </c>
      <c r="AC52" s="574">
        <f t="shared" si="13"/>
        <v>0</v>
      </c>
      <c r="AD52" s="73">
        <f t="shared" si="13"/>
        <v>0</v>
      </c>
      <c r="AE52" s="73">
        <f t="shared" si="13"/>
        <v>0</v>
      </c>
      <c r="AF52" s="73">
        <f t="shared" si="13"/>
        <v>0</v>
      </c>
      <c r="AG52" s="73">
        <f t="shared" si="13"/>
        <v>0</v>
      </c>
      <c r="AH52" s="73">
        <f t="shared" si="13"/>
        <v>0</v>
      </c>
      <c r="AI52" s="73">
        <f t="shared" si="13"/>
        <v>0</v>
      </c>
      <c r="AJ52" s="73">
        <f t="shared" si="13"/>
        <v>0</v>
      </c>
      <c r="AK52" s="73">
        <f t="shared" si="13"/>
        <v>0</v>
      </c>
      <c r="AL52" s="73">
        <f t="shared" si="13"/>
        <v>0</v>
      </c>
      <c r="AM52" s="73">
        <f t="shared" si="13"/>
        <v>0</v>
      </c>
      <c r="AN52" s="73">
        <f t="shared" si="13"/>
        <v>0</v>
      </c>
      <c r="AO52" s="73">
        <f t="shared" si="13"/>
        <v>0</v>
      </c>
      <c r="AP52" s="73">
        <f t="shared" si="13"/>
        <v>0</v>
      </c>
      <c r="AQ52" s="73">
        <f t="shared" si="13"/>
        <v>0</v>
      </c>
      <c r="AR52" s="73">
        <f t="shared" si="13"/>
        <v>0</v>
      </c>
      <c r="AS52" s="73">
        <f t="shared" si="13"/>
        <v>0</v>
      </c>
      <c r="AT52" s="73">
        <f t="shared" si="13"/>
        <v>0</v>
      </c>
      <c r="AU52" s="73">
        <f t="shared" si="13"/>
        <v>0</v>
      </c>
      <c r="AV52" s="73">
        <f t="shared" si="13"/>
        <v>0</v>
      </c>
      <c r="AW52" s="73">
        <f t="shared" si="13"/>
        <v>0</v>
      </c>
      <c r="AX52" s="73">
        <f t="shared" si="13"/>
        <v>0</v>
      </c>
      <c r="AY52" s="73">
        <f t="shared" si="13"/>
        <v>0</v>
      </c>
      <c r="AZ52" s="575">
        <f t="shared" si="13"/>
        <v>0</v>
      </c>
      <c r="BA52">
        <f t="shared" si="12"/>
        <v>0</v>
      </c>
    </row>
    <row r="53" spans="1:53">
      <c r="A53" s="73"/>
      <c r="B53" s="70"/>
      <c r="C53" s="73"/>
      <c r="D53" s="73" t="s">
        <v>966</v>
      </c>
      <c r="E53" s="73"/>
      <c r="F53" s="73"/>
      <c r="G53" s="566"/>
      <c r="H53" s="73">
        <f>H41+H47</f>
        <v>0</v>
      </c>
      <c r="I53" s="73">
        <f>I41+I47</f>
        <v>20</v>
      </c>
      <c r="J53" s="73">
        <f t="shared" si="14"/>
        <v>10</v>
      </c>
      <c r="K53" s="73">
        <f t="shared" si="14"/>
        <v>10</v>
      </c>
      <c r="L53" s="73">
        <f t="shared" si="14"/>
        <v>20</v>
      </c>
      <c r="M53" s="73">
        <f t="shared" si="14"/>
        <v>5</v>
      </c>
      <c r="N53" s="73">
        <f t="shared" si="14"/>
        <v>0</v>
      </c>
      <c r="O53" s="73">
        <f>O41+O47</f>
        <v>0</v>
      </c>
      <c r="P53" s="73">
        <f t="shared" si="15"/>
        <v>0</v>
      </c>
      <c r="Q53" s="73">
        <f t="shared" si="15"/>
        <v>0</v>
      </c>
      <c r="R53" s="73">
        <f t="shared" si="15"/>
        <v>0</v>
      </c>
      <c r="S53" s="73">
        <f t="shared" si="15"/>
        <v>0</v>
      </c>
      <c r="T53" s="92"/>
      <c r="V53" s="72" t="s">
        <v>975</v>
      </c>
      <c r="W53" s="73" t="s">
        <v>966</v>
      </c>
      <c r="AC53" s="574">
        <f t="shared" si="13"/>
        <v>0</v>
      </c>
      <c r="AD53" s="73">
        <f t="shared" si="13"/>
        <v>0</v>
      </c>
      <c r="AE53" s="73">
        <f t="shared" si="13"/>
        <v>0</v>
      </c>
      <c r="AF53" s="73">
        <f t="shared" si="13"/>
        <v>20</v>
      </c>
      <c r="AG53" s="73">
        <f t="shared" si="13"/>
        <v>5</v>
      </c>
      <c r="AH53" s="73">
        <f t="shared" si="13"/>
        <v>5</v>
      </c>
      <c r="AI53" s="73">
        <f t="shared" si="13"/>
        <v>5</v>
      </c>
      <c r="AJ53" s="73">
        <f t="shared" si="13"/>
        <v>5</v>
      </c>
      <c r="AK53" s="73">
        <f t="shared" si="13"/>
        <v>10</v>
      </c>
      <c r="AL53" s="73">
        <f t="shared" si="13"/>
        <v>10</v>
      </c>
      <c r="AM53" s="73">
        <f t="shared" si="13"/>
        <v>2.5</v>
      </c>
      <c r="AN53" s="73">
        <f t="shared" si="13"/>
        <v>2.5</v>
      </c>
      <c r="AO53" s="73">
        <f t="shared" si="13"/>
        <v>0</v>
      </c>
      <c r="AP53" s="73">
        <f t="shared" si="13"/>
        <v>0</v>
      </c>
      <c r="AQ53" s="73">
        <f t="shared" si="13"/>
        <v>0</v>
      </c>
      <c r="AR53" s="73">
        <f t="shared" si="13"/>
        <v>0</v>
      </c>
      <c r="AS53" s="73">
        <f t="shared" si="13"/>
        <v>0</v>
      </c>
      <c r="AT53" s="73">
        <f t="shared" si="13"/>
        <v>0</v>
      </c>
      <c r="AU53" s="73">
        <f t="shared" si="13"/>
        <v>0</v>
      </c>
      <c r="AV53" s="73">
        <f t="shared" si="13"/>
        <v>0</v>
      </c>
      <c r="AW53" s="73">
        <f t="shared" si="13"/>
        <v>0</v>
      </c>
      <c r="AX53" s="73">
        <f t="shared" si="13"/>
        <v>0</v>
      </c>
      <c r="AY53" s="73">
        <f t="shared" si="13"/>
        <v>0</v>
      </c>
      <c r="AZ53" s="575">
        <f t="shared" si="13"/>
        <v>0</v>
      </c>
      <c r="BA53">
        <f t="shared" si="12"/>
        <v>65</v>
      </c>
    </row>
    <row r="54" spans="1:53" ht="15.75" thickBot="1">
      <c r="A54" s="73"/>
      <c r="B54" s="70"/>
      <c r="C54" s="73"/>
      <c r="D54" s="73" t="s">
        <v>794</v>
      </c>
      <c r="E54" s="73"/>
      <c r="F54" s="73"/>
      <c r="G54" s="566"/>
      <c r="H54" s="73">
        <f>H51+H52+H53</f>
        <v>0</v>
      </c>
      <c r="I54" s="73">
        <f>I51+I52+I53</f>
        <v>124.13760908501963</v>
      </c>
      <c r="J54" s="73">
        <f t="shared" ref="J54:S54" si="16">J51+J52+J53</f>
        <v>114.13760908501963</v>
      </c>
      <c r="K54" s="73">
        <f t="shared" si="16"/>
        <v>114.13760908501963</v>
      </c>
      <c r="L54" s="73">
        <f t="shared" si="16"/>
        <v>124.13760908501963</v>
      </c>
      <c r="M54" s="73">
        <f t="shared" si="16"/>
        <v>109.13760908501963</v>
      </c>
      <c r="N54" s="73">
        <f t="shared" si="16"/>
        <v>112.10986623985367</v>
      </c>
      <c r="O54" s="73">
        <f t="shared" si="16"/>
        <v>112.10986623985367</v>
      </c>
      <c r="P54" s="73">
        <f t="shared" si="16"/>
        <v>112.10986623985367</v>
      </c>
      <c r="Q54" s="73">
        <f t="shared" si="16"/>
        <v>115.09946267291643</v>
      </c>
      <c r="R54" s="73">
        <f t="shared" si="16"/>
        <v>42.352616135055833</v>
      </c>
      <c r="S54" s="73">
        <f t="shared" si="16"/>
        <v>19.930642887085099</v>
      </c>
      <c r="T54" s="77">
        <f>SUM(H54:S54)</f>
        <v>1099.4003658397164</v>
      </c>
      <c r="V54" s="72"/>
      <c r="W54" s="73" t="s">
        <v>794</v>
      </c>
      <c r="AC54" s="576">
        <f t="shared" si="13"/>
        <v>0</v>
      </c>
      <c r="AD54" s="577">
        <f t="shared" si="13"/>
        <v>0</v>
      </c>
      <c r="AE54" s="577">
        <f t="shared" si="13"/>
        <v>0</v>
      </c>
      <c r="AF54" s="577">
        <f t="shared" si="13"/>
        <v>83.030658130406621</v>
      </c>
      <c r="AG54" s="577">
        <f t="shared" si="13"/>
        <v>57.068804542509817</v>
      </c>
      <c r="AH54" s="577">
        <f t="shared" si="13"/>
        <v>57.068804542509817</v>
      </c>
      <c r="AI54" s="577">
        <f t="shared" si="13"/>
        <v>57.068804542509817</v>
      </c>
      <c r="AJ54" s="577">
        <f t="shared" si="13"/>
        <v>57.068804542509817</v>
      </c>
      <c r="AK54" s="577">
        <f t="shared" si="13"/>
        <v>62.068804542509817</v>
      </c>
      <c r="AL54" s="577">
        <f t="shared" si="13"/>
        <v>62.068804542509817</v>
      </c>
      <c r="AM54" s="577">
        <f t="shared" si="13"/>
        <v>54.568804542509817</v>
      </c>
      <c r="AN54" s="577">
        <f t="shared" si="13"/>
        <v>54.568804542509817</v>
      </c>
      <c r="AO54" s="577">
        <f t="shared" si="13"/>
        <v>56.054933119926837</v>
      </c>
      <c r="AP54" s="577">
        <f t="shared" si="13"/>
        <v>56.054933119926837</v>
      </c>
      <c r="AQ54" s="577">
        <f t="shared" si="13"/>
        <v>56.054933119926837</v>
      </c>
      <c r="AR54" s="577">
        <f t="shared" si="13"/>
        <v>56.054933119926837</v>
      </c>
      <c r="AS54" s="577">
        <f t="shared" si="13"/>
        <v>56.054933119926837</v>
      </c>
      <c r="AT54" s="577">
        <f t="shared" si="13"/>
        <v>56.054933119926837</v>
      </c>
      <c r="AU54" s="577">
        <f t="shared" si="13"/>
        <v>57.549731336458215</v>
      </c>
      <c r="AV54" s="577">
        <f t="shared" si="13"/>
        <v>57.549731336458215</v>
      </c>
      <c r="AW54" s="577">
        <f t="shared" si="13"/>
        <v>62.283259022140925</v>
      </c>
      <c r="AX54" s="577">
        <f t="shared" si="13"/>
        <v>21.176308067527916</v>
      </c>
      <c r="AY54" s="577">
        <f t="shared" si="13"/>
        <v>9.9653214435425497</v>
      </c>
      <c r="AZ54" s="578">
        <f t="shared" si="13"/>
        <v>9.9653214435425497</v>
      </c>
      <c r="BA54" s="16">
        <f>SUM(AC54:AZ54)</f>
        <v>1099.4003658397169</v>
      </c>
    </row>
    <row r="55" spans="1:53" ht="33" customHeight="1" thickBot="1">
      <c r="A55" s="73"/>
      <c r="B55" s="70"/>
      <c r="C55" s="73"/>
      <c r="D55" s="73"/>
      <c r="E55" s="73"/>
      <c r="F55" s="73"/>
      <c r="G55" s="73"/>
      <c r="H55" s="73"/>
      <c r="I55" s="73"/>
      <c r="J55" s="73"/>
      <c r="K55" s="73"/>
      <c r="L55" s="73"/>
      <c r="M55" s="73"/>
      <c r="N55" s="73"/>
      <c r="O55" s="73"/>
      <c r="P55" s="73"/>
      <c r="Q55" s="73"/>
      <c r="R55" s="73"/>
      <c r="S55" s="73"/>
      <c r="T55" s="79">
        <f>(T42+T48)*1.1</f>
        <v>1209.3404024236881</v>
      </c>
      <c r="W55" s="107" t="s">
        <v>977</v>
      </c>
      <c r="X55" s="579" t="s">
        <v>978</v>
      </c>
      <c r="AC55" s="3"/>
      <c r="AD55" s="3"/>
      <c r="AE55" s="3"/>
    </row>
    <row r="56" spans="1:53">
      <c r="A56" s="73" t="s">
        <v>979</v>
      </c>
      <c r="B56" s="70"/>
      <c r="C56" s="73"/>
      <c r="D56" s="73" t="s">
        <v>791</v>
      </c>
      <c r="E56" s="73"/>
      <c r="F56" s="73"/>
      <c r="G56" s="73"/>
      <c r="H56" s="73">
        <v>2000</v>
      </c>
      <c r="I56" s="73">
        <v>1000</v>
      </c>
      <c r="J56" s="73"/>
      <c r="K56" s="73"/>
      <c r="L56" s="73"/>
      <c r="M56" s="73"/>
      <c r="N56" s="73"/>
      <c r="O56" s="73"/>
      <c r="P56" s="73"/>
      <c r="Q56" s="73"/>
      <c r="R56" s="73"/>
      <c r="S56" s="73"/>
      <c r="U56" s="72">
        <v>210300</v>
      </c>
      <c r="V56" s="73" t="s">
        <v>980</v>
      </c>
      <c r="W56" s="73" t="s">
        <v>791</v>
      </c>
      <c r="AC56" s="563">
        <v>750</v>
      </c>
      <c r="AD56" s="564">
        <v>1125</v>
      </c>
      <c r="AE56" s="564">
        <v>1125</v>
      </c>
      <c r="AF56" s="564"/>
      <c r="AG56" s="564"/>
      <c r="AH56" s="564"/>
      <c r="AI56" s="564"/>
      <c r="AJ56" s="564"/>
      <c r="AK56" s="564"/>
      <c r="AL56" s="564"/>
      <c r="AM56" s="564"/>
      <c r="AN56" s="564"/>
      <c r="AO56" s="564"/>
      <c r="AP56" s="564"/>
      <c r="AQ56" s="564"/>
      <c r="AR56" s="564"/>
      <c r="AS56" s="564"/>
      <c r="AT56" s="564"/>
      <c r="AU56" s="564"/>
      <c r="AV56" s="564"/>
      <c r="AW56" s="564"/>
      <c r="AX56" s="564"/>
      <c r="AY56" s="564"/>
      <c r="AZ56" s="274"/>
    </row>
    <row r="57" spans="1:53">
      <c r="A57" s="73" t="s">
        <v>980</v>
      </c>
      <c r="B57" s="70"/>
      <c r="C57" s="73"/>
      <c r="D57" s="73" t="s">
        <v>792</v>
      </c>
      <c r="E57" s="73"/>
      <c r="F57" s="73"/>
      <c r="G57" s="73"/>
      <c r="H57" s="73">
        <f>H56*N30*0.001</f>
        <v>199.30642887085097</v>
      </c>
      <c r="I57" s="73">
        <f>I56*N30*0.001</f>
        <v>99.653214435425483</v>
      </c>
      <c r="J57" s="73">
        <f>J56*N30*0.001</f>
        <v>0</v>
      </c>
      <c r="K57" s="73">
        <f>K56*N30*0.001</f>
        <v>0</v>
      </c>
      <c r="L57" s="73">
        <f>L56*N30*0.001</f>
        <v>0</v>
      </c>
      <c r="M57" s="73">
        <f>M56*N30*0.001</f>
        <v>0</v>
      </c>
      <c r="N57" s="73">
        <f>N56*N30*0.001</f>
        <v>0</v>
      </c>
      <c r="O57" s="73">
        <f>O56*N30*0.001</f>
        <v>0</v>
      </c>
      <c r="P57" s="73">
        <f>P56*N30*0.001</f>
        <v>0</v>
      </c>
      <c r="Q57" s="73">
        <f>Q56*N30*0.001</f>
        <v>0</v>
      </c>
      <c r="R57" s="73">
        <f>R56*N30*0.001</f>
        <v>0</v>
      </c>
      <c r="S57" s="73">
        <f>S56*N30*0.001</f>
        <v>0</v>
      </c>
      <c r="U57" s="72">
        <v>210300</v>
      </c>
      <c r="V57" s="73" t="s">
        <v>980</v>
      </c>
      <c r="W57" s="73" t="s">
        <v>792</v>
      </c>
      <c r="Y57" s="73" t="s">
        <v>62</v>
      </c>
      <c r="Z57" t="str">
        <f>VLOOKUP(Y57,'Price Table 8 OHB'!A:B,2,FALSE)</f>
        <v>(Project &amp; Mission) Engineering</v>
      </c>
      <c r="AC57" s="565">
        <f>AC56*$N$30*0.001</f>
        <v>74.739910826569115</v>
      </c>
      <c r="AD57">
        <f t="shared" ref="AD57:AZ57" si="17">AD56*$N$30*0.001</f>
        <v>112.10986623985367</v>
      </c>
      <c r="AE57">
        <f t="shared" si="17"/>
        <v>112.10986623985367</v>
      </c>
      <c r="AF57">
        <f t="shared" si="17"/>
        <v>0</v>
      </c>
      <c r="AG57">
        <f t="shared" si="17"/>
        <v>0</v>
      </c>
      <c r="AH57">
        <f t="shared" si="17"/>
        <v>0</v>
      </c>
      <c r="AI57">
        <f t="shared" si="17"/>
        <v>0</v>
      </c>
      <c r="AJ57">
        <f t="shared" si="17"/>
        <v>0</v>
      </c>
      <c r="AK57">
        <f t="shared" si="17"/>
        <v>0</v>
      </c>
      <c r="AL57">
        <f t="shared" si="17"/>
        <v>0</v>
      </c>
      <c r="AM57">
        <f t="shared" si="17"/>
        <v>0</v>
      </c>
      <c r="AN57">
        <f t="shared" si="17"/>
        <v>0</v>
      </c>
      <c r="AO57">
        <f t="shared" si="17"/>
        <v>0</v>
      </c>
      <c r="AP57">
        <f t="shared" si="17"/>
        <v>0</v>
      </c>
      <c r="AQ57">
        <f t="shared" si="17"/>
        <v>0</v>
      </c>
      <c r="AR57">
        <f t="shared" si="17"/>
        <v>0</v>
      </c>
      <c r="AS57">
        <f t="shared" si="17"/>
        <v>0</v>
      </c>
      <c r="AT57">
        <f t="shared" si="17"/>
        <v>0</v>
      </c>
      <c r="AU57">
        <f t="shared" si="17"/>
        <v>0</v>
      </c>
      <c r="AV57">
        <f t="shared" si="17"/>
        <v>0</v>
      </c>
      <c r="AW57">
        <f t="shared" si="17"/>
        <v>0</v>
      </c>
      <c r="AX57">
        <f t="shared" si="17"/>
        <v>0</v>
      </c>
      <c r="AY57">
        <f t="shared" si="17"/>
        <v>0</v>
      </c>
      <c r="AZ57" s="275">
        <f t="shared" si="17"/>
        <v>0</v>
      </c>
    </row>
    <row r="58" spans="1:53">
      <c r="A58" s="73"/>
      <c r="B58" s="70"/>
      <c r="C58" s="73"/>
      <c r="D58" s="73" t="s">
        <v>793</v>
      </c>
      <c r="E58" s="73"/>
      <c r="F58" s="73"/>
      <c r="G58" s="73"/>
      <c r="H58" s="73"/>
      <c r="I58" s="73"/>
      <c r="J58" s="73"/>
      <c r="K58" s="73"/>
      <c r="L58" s="73"/>
      <c r="M58" s="73"/>
      <c r="N58" s="73"/>
      <c r="O58" s="73"/>
      <c r="P58" s="73"/>
      <c r="Q58" s="73"/>
      <c r="R58" s="73"/>
      <c r="S58" s="73"/>
      <c r="U58" s="72">
        <v>210300</v>
      </c>
      <c r="V58" s="73" t="s">
        <v>980</v>
      </c>
      <c r="W58" s="73" t="s">
        <v>793</v>
      </c>
      <c r="Y58" s="73" t="s">
        <v>62</v>
      </c>
      <c r="Z58" t="str">
        <f>VLOOKUP(Y58,'Price Table 8 OHB'!A:B,2,FALSE)</f>
        <v>(Project &amp; Mission) Engineering</v>
      </c>
      <c r="AC58" s="565"/>
      <c r="AZ58" s="275"/>
    </row>
    <row r="59" spans="1:53">
      <c r="A59" s="73"/>
      <c r="B59" s="70"/>
      <c r="C59" s="73"/>
      <c r="D59" s="73" t="s">
        <v>966</v>
      </c>
      <c r="E59" s="73"/>
      <c r="F59" s="73"/>
      <c r="G59" s="73"/>
      <c r="H59" s="73">
        <v>10</v>
      </c>
      <c r="I59" s="73">
        <v>5</v>
      </c>
      <c r="J59" s="73"/>
      <c r="K59" s="73"/>
      <c r="L59" s="73"/>
      <c r="M59" s="73"/>
      <c r="N59" s="73"/>
      <c r="O59" s="73"/>
      <c r="P59" s="73"/>
      <c r="Q59" s="73"/>
      <c r="R59" s="73"/>
      <c r="S59" s="73"/>
      <c r="U59" s="72">
        <v>210300</v>
      </c>
      <c r="V59" s="73" t="s">
        <v>980</v>
      </c>
      <c r="W59" s="73" t="s">
        <v>966</v>
      </c>
      <c r="Y59" s="73" t="s">
        <v>62</v>
      </c>
      <c r="Z59" t="str">
        <f>VLOOKUP(Y59,'Price Table 8 OHB'!A:B,2,FALSE)</f>
        <v>(Project &amp; Mission) Engineering</v>
      </c>
      <c r="AC59" s="565"/>
      <c r="AD59">
        <f>H59/2</f>
        <v>5</v>
      </c>
      <c r="AE59">
        <f>H59/2</f>
        <v>5</v>
      </c>
      <c r="AF59">
        <f>I59/2</f>
        <v>2.5</v>
      </c>
      <c r="AG59">
        <f>I59/2</f>
        <v>2.5</v>
      </c>
      <c r="AZ59" s="275"/>
    </row>
    <row r="60" spans="1:53" ht="15.75" thickBot="1">
      <c r="A60" s="73"/>
      <c r="B60" s="70"/>
      <c r="C60" s="73"/>
      <c r="D60" s="73" t="s">
        <v>794</v>
      </c>
      <c r="E60" s="73"/>
      <c r="F60" s="73"/>
      <c r="G60" s="566"/>
      <c r="H60" s="73">
        <f t="shared" ref="H60:N60" si="18">H57+H58+H59</f>
        <v>209.30642887085097</v>
      </c>
      <c r="I60" s="73">
        <f t="shared" si="18"/>
        <v>104.65321443542548</v>
      </c>
      <c r="J60" s="73">
        <f>J57+J58+J59</f>
        <v>0</v>
      </c>
      <c r="K60" s="73">
        <f t="shared" si="18"/>
        <v>0</v>
      </c>
      <c r="L60" s="73">
        <f t="shared" si="18"/>
        <v>0</v>
      </c>
      <c r="M60" s="73">
        <f t="shared" si="18"/>
        <v>0</v>
      </c>
      <c r="N60" s="73">
        <f t="shared" si="18"/>
        <v>0</v>
      </c>
      <c r="O60" s="73">
        <f>O57+O58+O59</f>
        <v>0</v>
      </c>
      <c r="P60" s="73">
        <f>P57+P58+P59</f>
        <v>0</v>
      </c>
      <c r="Q60" s="73">
        <f>Q57+Q58+Q59</f>
        <v>0</v>
      </c>
      <c r="R60" s="73">
        <f>R57+R58+R59</f>
        <v>0</v>
      </c>
      <c r="S60" s="73">
        <f>S57+S58+S59</f>
        <v>0</v>
      </c>
      <c r="T60" s="77">
        <f>SUM(H60:S60)</f>
        <v>313.95964330627646</v>
      </c>
      <c r="W60" s="73" t="s">
        <v>794</v>
      </c>
      <c r="AC60" s="567">
        <f>SUM(AC57:AC59)</f>
        <v>74.739910826569115</v>
      </c>
      <c r="AD60" s="265">
        <f t="shared" ref="AD60:AZ60" si="19">SUM(AD57:AD59)</f>
        <v>117.10986623985367</v>
      </c>
      <c r="AE60" s="265">
        <f t="shared" si="19"/>
        <v>117.10986623985367</v>
      </c>
      <c r="AF60" s="265">
        <f t="shared" si="19"/>
        <v>2.5</v>
      </c>
      <c r="AG60" s="265">
        <f t="shared" si="19"/>
        <v>2.5</v>
      </c>
      <c r="AH60" s="265">
        <f t="shared" si="19"/>
        <v>0</v>
      </c>
      <c r="AI60" s="265">
        <f t="shared" si="19"/>
        <v>0</v>
      </c>
      <c r="AJ60" s="265">
        <f t="shared" si="19"/>
        <v>0</v>
      </c>
      <c r="AK60" s="265">
        <f t="shared" si="19"/>
        <v>0</v>
      </c>
      <c r="AL60" s="265">
        <f t="shared" si="19"/>
        <v>0</v>
      </c>
      <c r="AM60" s="265">
        <f t="shared" si="19"/>
        <v>0</v>
      </c>
      <c r="AN60" s="265">
        <f t="shared" si="19"/>
        <v>0</v>
      </c>
      <c r="AO60" s="265">
        <f t="shared" si="19"/>
        <v>0</v>
      </c>
      <c r="AP60" s="265">
        <f t="shared" si="19"/>
        <v>0</v>
      </c>
      <c r="AQ60" s="265">
        <f t="shared" si="19"/>
        <v>0</v>
      </c>
      <c r="AR60" s="265">
        <f t="shared" si="19"/>
        <v>0</v>
      </c>
      <c r="AS60" s="265">
        <f t="shared" si="19"/>
        <v>0</v>
      </c>
      <c r="AT60" s="265">
        <f t="shared" si="19"/>
        <v>0</v>
      </c>
      <c r="AU60" s="265">
        <f t="shared" si="19"/>
        <v>0</v>
      </c>
      <c r="AV60" s="265">
        <f t="shared" si="19"/>
        <v>0</v>
      </c>
      <c r="AW60" s="265">
        <f t="shared" si="19"/>
        <v>0</v>
      </c>
      <c r="AX60" s="265">
        <f t="shared" si="19"/>
        <v>0</v>
      </c>
      <c r="AY60" s="265">
        <f t="shared" si="19"/>
        <v>0</v>
      </c>
      <c r="AZ60" s="276">
        <f t="shared" si="19"/>
        <v>0</v>
      </c>
      <c r="BA60" s="16">
        <f>SUM(AC60:AZ60)</f>
        <v>313.95964330627646</v>
      </c>
    </row>
    <row r="61" spans="1:53" ht="48.95" customHeight="1" thickBot="1">
      <c r="A61" s="73"/>
      <c r="B61" s="70"/>
      <c r="C61" s="73"/>
      <c r="D61" s="73"/>
      <c r="E61" s="73"/>
      <c r="F61" s="73"/>
      <c r="G61" s="73"/>
      <c r="H61" s="73"/>
      <c r="I61" s="73"/>
      <c r="J61" s="73"/>
      <c r="K61" s="73"/>
      <c r="L61" s="73"/>
      <c r="M61" s="73"/>
      <c r="N61" s="73"/>
      <c r="O61" s="73"/>
      <c r="P61" s="73"/>
      <c r="Q61" s="73"/>
      <c r="R61" s="73"/>
      <c r="S61" s="73"/>
      <c r="T61" s="79">
        <f>T60*1.1</f>
        <v>345.35560763690415</v>
      </c>
      <c r="W61" s="94" t="s">
        <v>981</v>
      </c>
      <c r="X61" s="579" t="s">
        <v>982</v>
      </c>
      <c r="AD61" s="568"/>
      <c r="AE61" s="568"/>
      <c r="AF61" s="568"/>
    </row>
    <row r="62" spans="1:53">
      <c r="A62" t="s">
        <v>983</v>
      </c>
      <c r="D62" t="s">
        <v>791</v>
      </c>
      <c r="I62">
        <v>970</v>
      </c>
      <c r="U62" s="16">
        <v>450100</v>
      </c>
      <c r="V62" t="s">
        <v>984</v>
      </c>
      <c r="W62" t="s">
        <v>791</v>
      </c>
      <c r="AC62" s="563"/>
      <c r="AD62" s="564">
        <v>400</v>
      </c>
      <c r="AE62" s="564">
        <v>550</v>
      </c>
      <c r="AF62" s="564">
        <v>20</v>
      </c>
      <c r="AG62" s="564"/>
      <c r="AH62" s="564"/>
      <c r="AI62" s="564"/>
      <c r="AJ62" s="564"/>
      <c r="AK62" s="564"/>
      <c r="AL62" s="564"/>
      <c r="AM62" s="564"/>
      <c r="AN62" s="564"/>
      <c r="AO62" s="564"/>
      <c r="AP62" s="564"/>
      <c r="AQ62" s="564"/>
      <c r="AR62" s="564"/>
      <c r="AS62" s="564"/>
      <c r="AT62" s="564"/>
      <c r="AU62" s="564"/>
      <c r="AV62" s="564"/>
      <c r="AW62" s="564"/>
      <c r="AX62" s="564"/>
      <c r="AY62" s="564"/>
      <c r="AZ62" s="274"/>
    </row>
    <row r="63" spans="1:53">
      <c r="A63" t="s">
        <v>984</v>
      </c>
      <c r="D63" t="s">
        <v>792</v>
      </c>
      <c r="H63">
        <f>H62*N30*0.001</f>
        <v>0</v>
      </c>
      <c r="I63">
        <f>I62*N30*0.001</f>
        <v>96.663618002362725</v>
      </c>
      <c r="J63">
        <f>J62*N30*0.001</f>
        <v>0</v>
      </c>
      <c r="K63">
        <f>K62*N30*0.001</f>
        <v>0</v>
      </c>
      <c r="L63">
        <f>L62*N30*0.001</f>
        <v>0</v>
      </c>
      <c r="M63">
        <f>M62*N30*0.001</f>
        <v>0</v>
      </c>
      <c r="N63">
        <f>N62*N30*0.001</f>
        <v>0</v>
      </c>
      <c r="O63">
        <f>O62*N30*0.001</f>
        <v>0</v>
      </c>
      <c r="P63">
        <f>P62*N30*0.001</f>
        <v>0</v>
      </c>
      <c r="Q63">
        <f>Q62*N30*0.001</f>
        <v>0</v>
      </c>
      <c r="R63">
        <f>R62*N30*0.001</f>
        <v>0</v>
      </c>
      <c r="S63">
        <f>S62*N30*0.001</f>
        <v>0</v>
      </c>
      <c r="U63" s="16">
        <v>450100</v>
      </c>
      <c r="V63" t="s">
        <v>984</v>
      </c>
      <c r="W63" t="s">
        <v>792</v>
      </c>
      <c r="Y63" t="s">
        <v>204</v>
      </c>
      <c r="Z63" t="str">
        <f>VLOOKUP(Y63,'Price Table 8 OHB'!A:B,2,FALSE)</f>
        <v>AOCS / GNC - Engineering and SW</v>
      </c>
      <c r="AC63" s="565">
        <f>AC62*$N$30*0.001</f>
        <v>0</v>
      </c>
      <c r="AD63">
        <f t="shared" ref="AD63:AZ63" si="20">AD62*$N$30*0.001</f>
        <v>39.861285774170199</v>
      </c>
      <c r="AE63">
        <f t="shared" si="20"/>
        <v>54.809267939484016</v>
      </c>
      <c r="AF63">
        <f t="shared" si="20"/>
        <v>1.9930642887085097</v>
      </c>
      <c r="AG63">
        <f t="shared" si="20"/>
        <v>0</v>
      </c>
      <c r="AH63">
        <f t="shared" si="20"/>
        <v>0</v>
      </c>
      <c r="AI63">
        <f t="shared" si="20"/>
        <v>0</v>
      </c>
      <c r="AJ63">
        <f t="shared" si="20"/>
        <v>0</v>
      </c>
      <c r="AK63">
        <f t="shared" si="20"/>
        <v>0</v>
      </c>
      <c r="AL63">
        <f t="shared" si="20"/>
        <v>0</v>
      </c>
      <c r="AM63">
        <f t="shared" si="20"/>
        <v>0</v>
      </c>
      <c r="AN63">
        <f t="shared" si="20"/>
        <v>0</v>
      </c>
      <c r="AO63">
        <f t="shared" si="20"/>
        <v>0</v>
      </c>
      <c r="AP63">
        <f t="shared" si="20"/>
        <v>0</v>
      </c>
      <c r="AQ63">
        <f t="shared" si="20"/>
        <v>0</v>
      </c>
      <c r="AR63">
        <f t="shared" si="20"/>
        <v>0</v>
      </c>
      <c r="AS63">
        <f t="shared" si="20"/>
        <v>0</v>
      </c>
      <c r="AT63">
        <f t="shared" si="20"/>
        <v>0</v>
      </c>
      <c r="AU63">
        <f t="shared" si="20"/>
        <v>0</v>
      </c>
      <c r="AV63">
        <f t="shared" si="20"/>
        <v>0</v>
      </c>
      <c r="AW63">
        <f t="shared" si="20"/>
        <v>0</v>
      </c>
      <c r="AX63">
        <f t="shared" si="20"/>
        <v>0</v>
      </c>
      <c r="AY63">
        <f t="shared" si="20"/>
        <v>0</v>
      </c>
      <c r="AZ63" s="275">
        <f t="shared" si="20"/>
        <v>0</v>
      </c>
    </row>
    <row r="64" spans="1:53">
      <c r="D64" t="s">
        <v>793</v>
      </c>
      <c r="U64" s="16">
        <v>450100</v>
      </c>
      <c r="V64" t="s">
        <v>984</v>
      </c>
      <c r="W64" t="s">
        <v>793</v>
      </c>
      <c r="Y64" t="s">
        <v>592</v>
      </c>
      <c r="Z64" t="str">
        <f>VLOOKUP(Y64,'Price Table 8 OHB'!A:B,2,FALSE)</f>
        <v>AOCS / GNC - HW procurements</v>
      </c>
      <c r="AC64" s="565"/>
      <c r="AZ64" s="275"/>
    </row>
    <row r="65" spans="1:53">
      <c r="D65" t="s">
        <v>966</v>
      </c>
      <c r="U65" s="16">
        <v>450100</v>
      </c>
      <c r="V65" t="s">
        <v>984</v>
      </c>
      <c r="W65" t="s">
        <v>966</v>
      </c>
      <c r="Y65" t="s">
        <v>204</v>
      </c>
      <c r="Z65" t="str">
        <f>VLOOKUP(Y65,'Price Table 8 OHB'!A:B,2,FALSE)</f>
        <v>AOCS / GNC - Engineering and SW</v>
      </c>
      <c r="AC65" s="565"/>
      <c r="AZ65" s="275"/>
    </row>
    <row r="66" spans="1:53" ht="15.75" thickBot="1">
      <c r="D66" t="s">
        <v>794</v>
      </c>
      <c r="G66" s="570"/>
      <c r="H66">
        <f t="shared" ref="H66:S66" si="21">H63+H64+H65</f>
        <v>0</v>
      </c>
      <c r="I66">
        <f t="shared" si="21"/>
        <v>96.663618002362725</v>
      </c>
      <c r="J66">
        <f>J63+J64+J65</f>
        <v>0</v>
      </c>
      <c r="K66">
        <f t="shared" si="21"/>
        <v>0</v>
      </c>
      <c r="L66">
        <f t="shared" si="21"/>
        <v>0</v>
      </c>
      <c r="M66">
        <f t="shared" si="21"/>
        <v>0</v>
      </c>
      <c r="N66">
        <f t="shared" si="21"/>
        <v>0</v>
      </c>
      <c r="O66">
        <f t="shared" si="21"/>
        <v>0</v>
      </c>
      <c r="P66">
        <f t="shared" si="21"/>
        <v>0</v>
      </c>
      <c r="Q66">
        <f t="shared" si="21"/>
        <v>0</v>
      </c>
      <c r="R66">
        <f t="shared" si="21"/>
        <v>0</v>
      </c>
      <c r="S66">
        <f t="shared" si="21"/>
        <v>0</v>
      </c>
      <c r="T66">
        <f>SUM(H66:S66)</f>
        <v>96.663618002362725</v>
      </c>
      <c r="W66" t="s">
        <v>794</v>
      </c>
      <c r="AC66" s="567">
        <f>SUM(AC63:AC65)</f>
        <v>0</v>
      </c>
      <c r="AD66" s="265">
        <f t="shared" ref="AD66:AZ66" si="22">SUM(AD63:AD65)</f>
        <v>39.861285774170199</v>
      </c>
      <c r="AE66" s="265">
        <f t="shared" si="22"/>
        <v>54.809267939484016</v>
      </c>
      <c r="AF66" s="265">
        <f t="shared" si="22"/>
        <v>1.9930642887085097</v>
      </c>
      <c r="AG66" s="265">
        <f t="shared" si="22"/>
        <v>0</v>
      </c>
      <c r="AH66" s="265">
        <f t="shared" si="22"/>
        <v>0</v>
      </c>
      <c r="AI66" s="265">
        <f t="shared" si="22"/>
        <v>0</v>
      </c>
      <c r="AJ66" s="265">
        <f t="shared" si="22"/>
        <v>0</v>
      </c>
      <c r="AK66" s="265">
        <f t="shared" si="22"/>
        <v>0</v>
      </c>
      <c r="AL66" s="265">
        <f t="shared" si="22"/>
        <v>0</v>
      </c>
      <c r="AM66" s="265">
        <f t="shared" si="22"/>
        <v>0</v>
      </c>
      <c r="AN66" s="265">
        <f t="shared" si="22"/>
        <v>0</v>
      </c>
      <c r="AO66" s="265">
        <f t="shared" si="22"/>
        <v>0</v>
      </c>
      <c r="AP66" s="265">
        <f t="shared" si="22"/>
        <v>0</v>
      </c>
      <c r="AQ66" s="265">
        <f t="shared" si="22"/>
        <v>0</v>
      </c>
      <c r="AR66" s="265">
        <f t="shared" si="22"/>
        <v>0</v>
      </c>
      <c r="AS66" s="265">
        <f t="shared" si="22"/>
        <v>0</v>
      </c>
      <c r="AT66" s="265">
        <f t="shared" si="22"/>
        <v>0</v>
      </c>
      <c r="AU66" s="265">
        <f t="shared" si="22"/>
        <v>0</v>
      </c>
      <c r="AV66" s="265">
        <f t="shared" si="22"/>
        <v>0</v>
      </c>
      <c r="AW66" s="265">
        <f t="shared" si="22"/>
        <v>0</v>
      </c>
      <c r="AX66" s="265">
        <f t="shared" si="22"/>
        <v>0</v>
      </c>
      <c r="AY66" s="265">
        <f t="shared" si="22"/>
        <v>0</v>
      </c>
      <c r="AZ66" s="276">
        <f t="shared" si="22"/>
        <v>0</v>
      </c>
      <c r="BA66" s="16">
        <f>SUM(AC66:AZ66)</f>
        <v>96.663618002362725</v>
      </c>
    </row>
    <row r="67" spans="1:53" ht="33" customHeight="1" thickBot="1">
      <c r="A67" s="90"/>
      <c r="B67" s="91"/>
      <c r="C67" s="90"/>
      <c r="D67" s="90"/>
      <c r="E67" s="90"/>
      <c r="F67" s="90"/>
      <c r="G67" s="90"/>
      <c r="H67" s="90"/>
      <c r="I67" s="90"/>
      <c r="J67" s="90"/>
      <c r="K67" s="90"/>
      <c r="L67" s="90"/>
      <c r="M67" s="90"/>
      <c r="N67" s="90"/>
      <c r="O67" s="90"/>
      <c r="P67" s="90"/>
      <c r="Q67" s="90"/>
      <c r="R67" s="90"/>
      <c r="S67" s="90"/>
      <c r="W67" s="94" t="s">
        <v>985</v>
      </c>
      <c r="X67" s="579" t="s">
        <v>986</v>
      </c>
      <c r="AE67" s="568"/>
      <c r="AF67" s="568"/>
    </row>
    <row r="68" spans="1:53">
      <c r="A68" t="s">
        <v>987</v>
      </c>
      <c r="D68" t="s">
        <v>791</v>
      </c>
      <c r="I68">
        <v>993</v>
      </c>
      <c r="U68" s="16">
        <v>450200</v>
      </c>
      <c r="V68" t="s">
        <v>988</v>
      </c>
      <c r="W68" t="s">
        <v>791</v>
      </c>
      <c r="AC68" s="563"/>
      <c r="AD68" s="564"/>
      <c r="AE68" s="564">
        <v>660</v>
      </c>
      <c r="AF68" s="564">
        <v>333</v>
      </c>
      <c r="AG68" s="564"/>
      <c r="AH68" s="564"/>
      <c r="AI68" s="564"/>
      <c r="AJ68" s="564"/>
      <c r="AK68" s="564"/>
      <c r="AL68" s="564"/>
      <c r="AM68" s="564"/>
      <c r="AN68" s="564"/>
      <c r="AO68" s="564"/>
      <c r="AP68" s="564"/>
      <c r="AQ68" s="564"/>
      <c r="AR68" s="564"/>
      <c r="AS68" s="564"/>
      <c r="AT68" s="564"/>
      <c r="AU68" s="564"/>
      <c r="AV68" s="564"/>
      <c r="AW68" s="564"/>
      <c r="AX68" s="564"/>
      <c r="AY68" s="564"/>
      <c r="AZ68" s="274"/>
    </row>
    <row r="69" spans="1:53">
      <c r="A69" t="s">
        <v>988</v>
      </c>
      <c r="D69" t="s">
        <v>792</v>
      </c>
      <c r="H69">
        <f>H68*N30*0.001</f>
        <v>0</v>
      </c>
      <c r="I69">
        <f>I68*N30*0.001</f>
        <v>98.95564193437751</v>
      </c>
      <c r="J69">
        <f>J68*N30*0.001</f>
        <v>0</v>
      </c>
      <c r="K69">
        <f>K68*N30*0.001</f>
        <v>0</v>
      </c>
      <c r="L69">
        <f>L68*N30*0.001</f>
        <v>0</v>
      </c>
      <c r="M69">
        <f>M68*N30*0.001</f>
        <v>0</v>
      </c>
      <c r="N69">
        <f>N68*N30*0.001</f>
        <v>0</v>
      </c>
      <c r="O69">
        <f>O68*N30*0.001</f>
        <v>0</v>
      </c>
      <c r="P69">
        <f>P68*N30*0.001</f>
        <v>0</v>
      </c>
      <c r="Q69">
        <f>Q68*N30*0.001</f>
        <v>0</v>
      </c>
      <c r="R69">
        <f>R68*N30*0.001</f>
        <v>0</v>
      </c>
      <c r="S69">
        <f>S68*N30*0.001</f>
        <v>0</v>
      </c>
      <c r="U69" s="16">
        <v>450200</v>
      </c>
      <c r="V69" t="s">
        <v>988</v>
      </c>
      <c r="W69" t="s">
        <v>792</v>
      </c>
      <c r="Y69" t="s">
        <v>204</v>
      </c>
      <c r="Z69" t="str">
        <f>VLOOKUP(Y69,'Price Table 8 OHB'!A:B,2,FALSE)</f>
        <v>AOCS / GNC - Engineering and SW</v>
      </c>
      <c r="AC69" s="565">
        <f>AC68*$N$30*0.001</f>
        <v>0</v>
      </c>
      <c r="AD69">
        <f t="shared" ref="AD69:AZ69" si="23">AD68*$N$30*0.001</f>
        <v>0</v>
      </c>
      <c r="AE69">
        <f t="shared" si="23"/>
        <v>65.771121527380814</v>
      </c>
      <c r="AF69">
        <f t="shared" si="23"/>
        <v>33.18452040699669</v>
      </c>
      <c r="AG69">
        <f t="shared" si="23"/>
        <v>0</v>
      </c>
      <c r="AH69">
        <f t="shared" si="23"/>
        <v>0</v>
      </c>
      <c r="AI69">
        <f t="shared" si="23"/>
        <v>0</v>
      </c>
      <c r="AJ69">
        <f t="shared" si="23"/>
        <v>0</v>
      </c>
      <c r="AK69">
        <f t="shared" si="23"/>
        <v>0</v>
      </c>
      <c r="AL69">
        <f t="shared" si="23"/>
        <v>0</v>
      </c>
      <c r="AM69">
        <f t="shared" si="23"/>
        <v>0</v>
      </c>
      <c r="AN69">
        <f t="shared" si="23"/>
        <v>0</v>
      </c>
      <c r="AO69">
        <f t="shared" si="23"/>
        <v>0</v>
      </c>
      <c r="AP69">
        <f t="shared" si="23"/>
        <v>0</v>
      </c>
      <c r="AQ69">
        <f t="shared" si="23"/>
        <v>0</v>
      </c>
      <c r="AR69">
        <f t="shared" si="23"/>
        <v>0</v>
      </c>
      <c r="AS69">
        <f t="shared" si="23"/>
        <v>0</v>
      </c>
      <c r="AT69">
        <f t="shared" si="23"/>
        <v>0</v>
      </c>
      <c r="AU69">
        <f t="shared" si="23"/>
        <v>0</v>
      </c>
      <c r="AV69">
        <f t="shared" si="23"/>
        <v>0</v>
      </c>
      <c r="AW69">
        <f t="shared" si="23"/>
        <v>0</v>
      </c>
      <c r="AX69">
        <f t="shared" si="23"/>
        <v>0</v>
      </c>
      <c r="AY69">
        <f t="shared" si="23"/>
        <v>0</v>
      </c>
      <c r="AZ69" s="275">
        <f t="shared" si="23"/>
        <v>0</v>
      </c>
    </row>
    <row r="70" spans="1:53">
      <c r="D70" t="s">
        <v>793</v>
      </c>
      <c r="U70" s="16">
        <v>450200</v>
      </c>
      <c r="V70" t="s">
        <v>988</v>
      </c>
      <c r="W70" t="s">
        <v>793</v>
      </c>
      <c r="Y70" t="s">
        <v>592</v>
      </c>
      <c r="Z70" t="str">
        <f>VLOOKUP(Y70,'Price Table 8 OHB'!A:B,2,FALSE)</f>
        <v>AOCS / GNC - HW procurements</v>
      </c>
      <c r="AC70" s="565"/>
      <c r="AZ70" s="275"/>
    </row>
    <row r="71" spans="1:53">
      <c r="D71" t="s">
        <v>966</v>
      </c>
      <c r="U71" s="16">
        <v>450200</v>
      </c>
      <c r="V71" t="s">
        <v>988</v>
      </c>
      <c r="W71" t="s">
        <v>966</v>
      </c>
      <c r="Y71" t="s">
        <v>204</v>
      </c>
      <c r="Z71" t="str">
        <f>VLOOKUP(Y71,'Price Table 8 OHB'!A:B,2,FALSE)</f>
        <v>AOCS / GNC - Engineering and SW</v>
      </c>
      <c r="AC71" s="565"/>
      <c r="AZ71" s="275"/>
    </row>
    <row r="72" spans="1:53" ht="15.75" thickBot="1">
      <c r="D72" t="s">
        <v>794</v>
      </c>
      <c r="G72" s="570"/>
      <c r="H72">
        <f t="shared" ref="H72:S72" si="24">H69+H70+H71</f>
        <v>0</v>
      </c>
      <c r="I72">
        <f t="shared" si="24"/>
        <v>98.95564193437751</v>
      </c>
      <c r="J72">
        <f>J69+J70+J71</f>
        <v>0</v>
      </c>
      <c r="K72">
        <f t="shared" si="24"/>
        <v>0</v>
      </c>
      <c r="L72">
        <f t="shared" si="24"/>
        <v>0</v>
      </c>
      <c r="M72">
        <f t="shared" si="24"/>
        <v>0</v>
      </c>
      <c r="N72">
        <f t="shared" si="24"/>
        <v>0</v>
      </c>
      <c r="O72">
        <f t="shared" si="24"/>
        <v>0</v>
      </c>
      <c r="P72">
        <f t="shared" si="24"/>
        <v>0</v>
      </c>
      <c r="Q72">
        <f t="shared" si="24"/>
        <v>0</v>
      </c>
      <c r="R72">
        <f t="shared" si="24"/>
        <v>0</v>
      </c>
      <c r="S72">
        <f t="shared" si="24"/>
        <v>0</v>
      </c>
      <c r="T72">
        <f>SUM(H72:S72)</f>
        <v>98.95564193437751</v>
      </c>
      <c r="W72" t="s">
        <v>794</v>
      </c>
      <c r="AC72" s="567">
        <f>SUM(AC69:AC71)</f>
        <v>0</v>
      </c>
      <c r="AD72" s="265">
        <f t="shared" ref="AD72:AZ72" si="25">SUM(AD69:AD71)</f>
        <v>0</v>
      </c>
      <c r="AE72" s="265">
        <f t="shared" si="25"/>
        <v>65.771121527380814</v>
      </c>
      <c r="AF72" s="265">
        <f t="shared" si="25"/>
        <v>33.18452040699669</v>
      </c>
      <c r="AG72" s="265">
        <f t="shared" si="25"/>
        <v>0</v>
      </c>
      <c r="AH72" s="265">
        <f t="shared" si="25"/>
        <v>0</v>
      </c>
      <c r="AI72" s="265">
        <f t="shared" si="25"/>
        <v>0</v>
      </c>
      <c r="AJ72" s="265">
        <f t="shared" si="25"/>
        <v>0</v>
      </c>
      <c r="AK72" s="265">
        <f t="shared" si="25"/>
        <v>0</v>
      </c>
      <c r="AL72" s="265">
        <f t="shared" si="25"/>
        <v>0</v>
      </c>
      <c r="AM72" s="265">
        <f t="shared" si="25"/>
        <v>0</v>
      </c>
      <c r="AN72" s="265">
        <f t="shared" si="25"/>
        <v>0</v>
      </c>
      <c r="AO72" s="265">
        <f t="shared" si="25"/>
        <v>0</v>
      </c>
      <c r="AP72" s="265">
        <f t="shared" si="25"/>
        <v>0</v>
      </c>
      <c r="AQ72" s="265">
        <f t="shared" si="25"/>
        <v>0</v>
      </c>
      <c r="AR72" s="265">
        <f t="shared" si="25"/>
        <v>0</v>
      </c>
      <c r="AS72" s="265">
        <f t="shared" si="25"/>
        <v>0</v>
      </c>
      <c r="AT72" s="265">
        <f t="shared" si="25"/>
        <v>0</v>
      </c>
      <c r="AU72" s="265">
        <f t="shared" si="25"/>
        <v>0</v>
      </c>
      <c r="AV72" s="265">
        <f t="shared" si="25"/>
        <v>0</v>
      </c>
      <c r="AW72" s="265">
        <f t="shared" si="25"/>
        <v>0</v>
      </c>
      <c r="AX72" s="265">
        <f t="shared" si="25"/>
        <v>0</v>
      </c>
      <c r="AY72" s="265">
        <f t="shared" si="25"/>
        <v>0</v>
      </c>
      <c r="AZ72" s="276">
        <f t="shared" si="25"/>
        <v>0</v>
      </c>
      <c r="BA72" s="16">
        <f>SUM(AC72:AZ72)</f>
        <v>98.955641934377496</v>
      </c>
    </row>
    <row r="73" spans="1:53" ht="33" customHeight="1" thickBot="1">
      <c r="A73" s="90"/>
      <c r="B73" s="91"/>
      <c r="C73" s="90"/>
      <c r="D73" s="90"/>
      <c r="E73" s="90"/>
      <c r="F73" s="90"/>
      <c r="G73" s="90"/>
      <c r="H73" s="90"/>
      <c r="I73" s="90"/>
      <c r="J73" s="90"/>
      <c r="K73" s="90"/>
      <c r="L73" s="90"/>
      <c r="M73" s="90"/>
      <c r="N73" s="90"/>
      <c r="O73" s="90"/>
      <c r="P73" s="90"/>
      <c r="Q73" s="90"/>
      <c r="R73" s="90"/>
      <c r="S73" s="90"/>
      <c r="W73" s="94" t="s">
        <v>989</v>
      </c>
      <c r="X73" s="579" t="s">
        <v>990</v>
      </c>
      <c r="AF73" s="568"/>
      <c r="AG73" s="568"/>
      <c r="AH73" s="568"/>
      <c r="AI73" s="568"/>
    </row>
    <row r="74" spans="1:53">
      <c r="A74" t="s">
        <v>991</v>
      </c>
      <c r="D74" t="s">
        <v>791</v>
      </c>
      <c r="J74">
        <v>290</v>
      </c>
      <c r="K74">
        <v>350</v>
      </c>
      <c r="U74" s="16">
        <v>450300</v>
      </c>
      <c r="V74" t="s">
        <v>992</v>
      </c>
      <c r="W74" t="s">
        <v>791</v>
      </c>
      <c r="AC74" s="563"/>
      <c r="AD74" s="564"/>
      <c r="AE74" s="564"/>
      <c r="AF74" s="564">
        <v>100</v>
      </c>
      <c r="AG74" s="564">
        <v>180</v>
      </c>
      <c r="AH74" s="564">
        <v>180</v>
      </c>
      <c r="AI74" s="564">
        <v>180</v>
      </c>
      <c r="AJ74" s="564"/>
      <c r="AK74" s="564"/>
      <c r="AL74" s="564"/>
      <c r="AM74" s="564"/>
      <c r="AN74" s="564"/>
      <c r="AO74" s="564"/>
      <c r="AP74" s="564"/>
      <c r="AQ74" s="564"/>
      <c r="AR74" s="564"/>
      <c r="AS74" s="564"/>
      <c r="AT74" s="564"/>
      <c r="AU74" s="564"/>
      <c r="AV74" s="564"/>
      <c r="AW74" s="564"/>
      <c r="AX74" s="564"/>
      <c r="AY74" s="564"/>
      <c r="AZ74" s="274"/>
    </row>
    <row r="75" spans="1:53">
      <c r="A75" t="s">
        <v>992</v>
      </c>
      <c r="D75" t="s">
        <v>792</v>
      </c>
      <c r="H75">
        <f>H74*N30*0.001</f>
        <v>0</v>
      </c>
      <c r="I75">
        <f>I74*N30*0.001</f>
        <v>0</v>
      </c>
      <c r="J75">
        <f>J74*N30*0.001</f>
        <v>28.89943218627339</v>
      </c>
      <c r="K75">
        <f>K74*N30*0.001</f>
        <v>34.878625052398924</v>
      </c>
      <c r="L75">
        <f>L74*N30*0.001</f>
        <v>0</v>
      </c>
      <c r="M75">
        <f>M74*N30*0.001</f>
        <v>0</v>
      </c>
      <c r="N75">
        <f>N74*N30*0.001</f>
        <v>0</v>
      </c>
      <c r="O75">
        <f>O74*N30*0.001</f>
        <v>0</v>
      </c>
      <c r="P75">
        <f>P74*N30*0.001</f>
        <v>0</v>
      </c>
      <c r="Q75">
        <f>Q74*N30*0.001</f>
        <v>0</v>
      </c>
      <c r="R75">
        <f>R74*N30*0.001</f>
        <v>0</v>
      </c>
      <c r="S75">
        <f>S74*N30*0.001</f>
        <v>0</v>
      </c>
      <c r="U75" s="16">
        <v>450300</v>
      </c>
      <c r="V75" t="s">
        <v>992</v>
      </c>
      <c r="W75" t="s">
        <v>792</v>
      </c>
      <c r="Y75" t="s">
        <v>204</v>
      </c>
      <c r="Z75" t="str">
        <f>VLOOKUP(Y75,'Price Table 8 OHB'!A:B,2,FALSE)</f>
        <v>AOCS / GNC - Engineering and SW</v>
      </c>
      <c r="AC75" s="565">
        <f>AC74*$N$30*0.001</f>
        <v>0</v>
      </c>
      <c r="AD75">
        <f t="shared" ref="AD75:AZ75" si="26">AD74*$N$30*0.001</f>
        <v>0</v>
      </c>
      <c r="AE75">
        <f t="shared" si="26"/>
        <v>0</v>
      </c>
      <c r="AF75">
        <f t="shared" si="26"/>
        <v>9.9653214435425497</v>
      </c>
      <c r="AG75">
        <f t="shared" si="26"/>
        <v>17.937578598376586</v>
      </c>
      <c r="AH75">
        <f t="shared" si="26"/>
        <v>17.937578598376586</v>
      </c>
      <c r="AI75">
        <f t="shared" si="26"/>
        <v>17.937578598376586</v>
      </c>
      <c r="AJ75">
        <f t="shared" si="26"/>
        <v>0</v>
      </c>
      <c r="AK75">
        <f t="shared" si="26"/>
        <v>0</v>
      </c>
      <c r="AL75">
        <f t="shared" si="26"/>
        <v>0</v>
      </c>
      <c r="AM75">
        <f t="shared" si="26"/>
        <v>0</v>
      </c>
      <c r="AN75">
        <f t="shared" si="26"/>
        <v>0</v>
      </c>
      <c r="AO75">
        <f t="shared" si="26"/>
        <v>0</v>
      </c>
      <c r="AP75">
        <f t="shared" si="26"/>
        <v>0</v>
      </c>
      <c r="AQ75">
        <f t="shared" si="26"/>
        <v>0</v>
      </c>
      <c r="AR75">
        <f t="shared" si="26"/>
        <v>0</v>
      </c>
      <c r="AS75">
        <f t="shared" si="26"/>
        <v>0</v>
      </c>
      <c r="AT75">
        <f t="shared" si="26"/>
        <v>0</v>
      </c>
      <c r="AU75">
        <f t="shared" si="26"/>
        <v>0</v>
      </c>
      <c r="AV75">
        <f t="shared" si="26"/>
        <v>0</v>
      </c>
      <c r="AW75">
        <f t="shared" si="26"/>
        <v>0</v>
      </c>
      <c r="AX75">
        <f t="shared" si="26"/>
        <v>0</v>
      </c>
      <c r="AY75">
        <f t="shared" si="26"/>
        <v>0</v>
      </c>
      <c r="AZ75" s="275">
        <f t="shared" si="26"/>
        <v>0</v>
      </c>
    </row>
    <row r="76" spans="1:53">
      <c r="D76" t="s">
        <v>793</v>
      </c>
      <c r="U76" s="16">
        <v>450300</v>
      </c>
      <c r="V76" t="s">
        <v>992</v>
      </c>
      <c r="W76" t="s">
        <v>793</v>
      </c>
      <c r="Y76" t="s">
        <v>592</v>
      </c>
      <c r="Z76" t="str">
        <f>VLOOKUP(Y76,'Price Table 8 OHB'!A:B,2,FALSE)</f>
        <v>AOCS / GNC - HW procurements</v>
      </c>
      <c r="AC76" s="565"/>
      <c r="AZ76" s="275"/>
    </row>
    <row r="77" spans="1:53">
      <c r="D77" t="s">
        <v>966</v>
      </c>
      <c r="U77" s="16">
        <v>450300</v>
      </c>
      <c r="V77" t="s">
        <v>992</v>
      </c>
      <c r="W77" t="s">
        <v>966</v>
      </c>
      <c r="Y77" t="s">
        <v>204</v>
      </c>
      <c r="Z77" t="str">
        <f>VLOOKUP(Y77,'Price Table 8 OHB'!A:B,2,FALSE)</f>
        <v>AOCS / GNC - Engineering and SW</v>
      </c>
      <c r="AC77" s="565"/>
      <c r="AZ77" s="275"/>
    </row>
    <row r="78" spans="1:53" ht="15.75" thickBot="1">
      <c r="D78" t="s">
        <v>993</v>
      </c>
      <c r="G78" s="570"/>
      <c r="H78">
        <f t="shared" ref="H78:S78" si="27">H75+H76+H77</f>
        <v>0</v>
      </c>
      <c r="I78">
        <f t="shared" si="27"/>
        <v>0</v>
      </c>
      <c r="J78">
        <f>J75+J76+J77</f>
        <v>28.89943218627339</v>
      </c>
      <c r="K78">
        <f t="shared" si="27"/>
        <v>34.878625052398924</v>
      </c>
      <c r="L78">
        <f t="shared" si="27"/>
        <v>0</v>
      </c>
      <c r="M78">
        <f t="shared" si="27"/>
        <v>0</v>
      </c>
      <c r="N78">
        <f t="shared" si="27"/>
        <v>0</v>
      </c>
      <c r="O78">
        <f t="shared" si="27"/>
        <v>0</v>
      </c>
      <c r="P78">
        <f t="shared" si="27"/>
        <v>0</v>
      </c>
      <c r="Q78">
        <f t="shared" si="27"/>
        <v>0</v>
      </c>
      <c r="R78">
        <f t="shared" si="27"/>
        <v>0</v>
      </c>
      <c r="S78">
        <f t="shared" si="27"/>
        <v>0</v>
      </c>
      <c r="T78">
        <f>SUM(H78:S78)</f>
        <v>63.778057238672318</v>
      </c>
      <c r="W78" t="s">
        <v>794</v>
      </c>
      <c r="AA78" s="17"/>
      <c r="AC78" s="567">
        <f>SUM(AC75:AC77)</f>
        <v>0</v>
      </c>
      <c r="AD78" s="265">
        <f t="shared" ref="AD78:AZ78" si="28">SUM(AD75:AD77)</f>
        <v>0</v>
      </c>
      <c r="AE78" s="265">
        <f t="shared" si="28"/>
        <v>0</v>
      </c>
      <c r="AF78" s="265">
        <f t="shared" si="28"/>
        <v>9.9653214435425497</v>
      </c>
      <c r="AG78" s="265">
        <f t="shared" si="28"/>
        <v>17.937578598376586</v>
      </c>
      <c r="AH78" s="265">
        <f t="shared" si="28"/>
        <v>17.937578598376586</v>
      </c>
      <c r="AI78" s="265">
        <f t="shared" si="28"/>
        <v>17.937578598376586</v>
      </c>
      <c r="AJ78" s="265">
        <f t="shared" si="28"/>
        <v>0</v>
      </c>
      <c r="AK78" s="265">
        <f t="shared" si="28"/>
        <v>0</v>
      </c>
      <c r="AL78" s="265">
        <f t="shared" si="28"/>
        <v>0</v>
      </c>
      <c r="AM78" s="265">
        <f t="shared" si="28"/>
        <v>0</v>
      </c>
      <c r="AN78" s="265">
        <f t="shared" si="28"/>
        <v>0</v>
      </c>
      <c r="AO78" s="265">
        <f t="shared" si="28"/>
        <v>0</v>
      </c>
      <c r="AP78" s="265">
        <f t="shared" si="28"/>
        <v>0</v>
      </c>
      <c r="AQ78" s="265">
        <f t="shared" si="28"/>
        <v>0</v>
      </c>
      <c r="AR78" s="265">
        <f t="shared" si="28"/>
        <v>0</v>
      </c>
      <c r="AS78" s="265">
        <f t="shared" si="28"/>
        <v>0</v>
      </c>
      <c r="AT78" s="265">
        <f t="shared" si="28"/>
        <v>0</v>
      </c>
      <c r="AU78" s="265">
        <f t="shared" si="28"/>
        <v>0</v>
      </c>
      <c r="AV78" s="265">
        <f t="shared" si="28"/>
        <v>0</v>
      </c>
      <c r="AW78" s="265">
        <f t="shared" si="28"/>
        <v>0</v>
      </c>
      <c r="AX78" s="265">
        <f t="shared" si="28"/>
        <v>0</v>
      </c>
      <c r="AY78" s="265">
        <f t="shared" si="28"/>
        <v>0</v>
      </c>
      <c r="AZ78" s="276">
        <f t="shared" si="28"/>
        <v>0</v>
      </c>
      <c r="BA78" s="16">
        <f>SUM(AC78:AZ78)</f>
        <v>63.778057238672304</v>
      </c>
    </row>
    <row r="79" spans="1:53" ht="33" customHeight="1" thickBot="1">
      <c r="A79" s="90"/>
      <c r="B79" s="91"/>
      <c r="C79" s="90"/>
      <c r="D79" s="90"/>
      <c r="E79" s="90"/>
      <c r="F79" s="90"/>
      <c r="G79" s="90"/>
      <c r="H79" s="90"/>
      <c r="I79" s="90"/>
      <c r="J79" s="90"/>
      <c r="K79" s="90"/>
      <c r="L79" s="90"/>
      <c r="M79" s="90"/>
      <c r="N79" s="90"/>
      <c r="O79" s="90"/>
      <c r="P79" s="90"/>
      <c r="Q79" s="90"/>
      <c r="R79" s="90"/>
      <c r="S79" s="90"/>
      <c r="W79" s="94" t="s">
        <v>994</v>
      </c>
      <c r="X79" s="579" t="s">
        <v>995</v>
      </c>
      <c r="AA79" s="17"/>
      <c r="AF79" s="568"/>
      <c r="AG79" s="568"/>
      <c r="AH79" s="568"/>
      <c r="AI79" s="568"/>
      <c r="AJ79" s="568"/>
      <c r="AK79" s="568"/>
    </row>
    <row r="80" spans="1:53">
      <c r="A80" t="s">
        <v>996</v>
      </c>
      <c r="D80" t="s">
        <v>791</v>
      </c>
      <c r="I80">
        <v>500</v>
      </c>
      <c r="J80">
        <v>2670</v>
      </c>
      <c r="U80" s="16">
        <v>450400</v>
      </c>
      <c r="V80" t="s">
        <v>997</v>
      </c>
      <c r="W80" t="s">
        <v>791</v>
      </c>
      <c r="X80" s="17"/>
      <c r="AC80" s="563"/>
      <c r="AD80" s="564"/>
      <c r="AE80" s="564"/>
      <c r="AF80" s="564">
        <v>1050</v>
      </c>
      <c r="AG80" s="564">
        <v>1040</v>
      </c>
      <c r="AH80" s="564">
        <v>300</v>
      </c>
      <c r="AI80" s="564">
        <v>300</v>
      </c>
      <c r="AJ80" s="564">
        <v>360</v>
      </c>
      <c r="AK80" s="564">
        <v>120</v>
      </c>
      <c r="AL80" s="564"/>
      <c r="AM80" s="564"/>
      <c r="AN80" s="564"/>
      <c r="AO80" s="564"/>
      <c r="AP80" s="564"/>
      <c r="AQ80" s="564"/>
      <c r="AR80" s="564"/>
      <c r="AS80" s="564"/>
      <c r="AT80" s="564"/>
      <c r="AU80" s="564"/>
      <c r="AV80" s="564"/>
      <c r="AW80" s="564"/>
      <c r="AX80" s="564"/>
      <c r="AY80" s="564"/>
      <c r="AZ80" s="274"/>
    </row>
    <row r="81" spans="1:53">
      <c r="A81" t="s">
        <v>997</v>
      </c>
      <c r="D81" t="s">
        <v>998</v>
      </c>
      <c r="H81">
        <f>H80*N30*0.001</f>
        <v>0</v>
      </c>
      <c r="I81">
        <f>I80*N30*0.001</f>
        <v>49.826607217712741</v>
      </c>
      <c r="J81">
        <f>J80*N30*0.001</f>
        <v>266.07408254258604</v>
      </c>
      <c r="K81">
        <f>K80*N30*0.001</f>
        <v>0</v>
      </c>
      <c r="L81">
        <f>L80*N30*0.001</f>
        <v>0</v>
      </c>
      <c r="M81">
        <f>M80*N30*0.001</f>
        <v>0</v>
      </c>
      <c r="N81">
        <f>N80*N30*0.001</f>
        <v>0</v>
      </c>
      <c r="O81">
        <f>O80*N30*0.001</f>
        <v>0</v>
      </c>
      <c r="P81">
        <f>P80*N30*0.001</f>
        <v>0</v>
      </c>
      <c r="Q81">
        <f>Q80*N30*0.001</f>
        <v>0</v>
      </c>
      <c r="R81">
        <f>R80*N30*0.001</f>
        <v>0</v>
      </c>
      <c r="S81">
        <f>S80*N30*0.001</f>
        <v>0</v>
      </c>
      <c r="U81" s="16">
        <v>450400</v>
      </c>
      <c r="V81" t="s">
        <v>997</v>
      </c>
      <c r="W81" t="s">
        <v>792</v>
      </c>
      <c r="X81" s="17"/>
      <c r="Y81" t="s">
        <v>204</v>
      </c>
      <c r="Z81" t="str">
        <f>VLOOKUP(Y81,'Price Table 8 OHB'!A:B,2,FALSE)</f>
        <v>AOCS / GNC - Engineering and SW</v>
      </c>
      <c r="AC81" s="565">
        <f>AC80*$N$30*0.001</f>
        <v>0</v>
      </c>
      <c r="AD81">
        <f t="shared" ref="AD81:AZ81" si="29">AD80*$N$30*0.001</f>
        <v>0</v>
      </c>
      <c r="AE81">
        <f t="shared" si="29"/>
        <v>0</v>
      </c>
      <c r="AF81">
        <f t="shared" si="29"/>
        <v>104.63587515719676</v>
      </c>
      <c r="AG81">
        <f t="shared" si="29"/>
        <v>103.6393430128425</v>
      </c>
      <c r="AH81">
        <f t="shared" si="29"/>
        <v>29.895964330627645</v>
      </c>
      <c r="AI81">
        <f t="shared" si="29"/>
        <v>29.895964330627645</v>
      </c>
      <c r="AJ81">
        <f t="shared" si="29"/>
        <v>35.875157196753172</v>
      </c>
      <c r="AK81">
        <f t="shared" si="29"/>
        <v>11.958385732251058</v>
      </c>
      <c r="AL81">
        <f t="shared" si="29"/>
        <v>0</v>
      </c>
      <c r="AM81">
        <f t="shared" si="29"/>
        <v>0</v>
      </c>
      <c r="AN81">
        <f t="shared" si="29"/>
        <v>0</v>
      </c>
      <c r="AO81">
        <f t="shared" si="29"/>
        <v>0</v>
      </c>
      <c r="AP81">
        <f t="shared" si="29"/>
        <v>0</v>
      </c>
      <c r="AQ81">
        <f t="shared" si="29"/>
        <v>0</v>
      </c>
      <c r="AR81">
        <f t="shared" si="29"/>
        <v>0</v>
      </c>
      <c r="AS81">
        <f t="shared" si="29"/>
        <v>0</v>
      </c>
      <c r="AT81">
        <f t="shared" si="29"/>
        <v>0</v>
      </c>
      <c r="AU81">
        <f t="shared" si="29"/>
        <v>0</v>
      </c>
      <c r="AV81">
        <f t="shared" si="29"/>
        <v>0</v>
      </c>
      <c r="AW81">
        <f t="shared" si="29"/>
        <v>0</v>
      </c>
      <c r="AX81">
        <f t="shared" si="29"/>
        <v>0</v>
      </c>
      <c r="AY81">
        <f t="shared" si="29"/>
        <v>0</v>
      </c>
      <c r="AZ81" s="275">
        <f t="shared" si="29"/>
        <v>0</v>
      </c>
    </row>
    <row r="82" spans="1:53">
      <c r="D82" t="s">
        <v>793</v>
      </c>
      <c r="U82" s="16">
        <v>450400</v>
      </c>
      <c r="V82" t="s">
        <v>997</v>
      </c>
      <c r="W82" t="s">
        <v>793</v>
      </c>
      <c r="Y82" t="s">
        <v>592</v>
      </c>
      <c r="Z82" t="str">
        <f>VLOOKUP(Y82,'Price Table 8 OHB'!A:B,2,FALSE)</f>
        <v>AOCS / GNC - HW procurements</v>
      </c>
      <c r="AC82" s="565"/>
      <c r="AZ82" s="275"/>
    </row>
    <row r="83" spans="1:53">
      <c r="D83" t="s">
        <v>966</v>
      </c>
      <c r="U83" s="16">
        <v>450400</v>
      </c>
      <c r="V83" t="s">
        <v>997</v>
      </c>
      <c r="W83" t="s">
        <v>966</v>
      </c>
      <c r="Y83" t="s">
        <v>204</v>
      </c>
      <c r="Z83" t="str">
        <f>VLOOKUP(Y83,'Price Table 8 OHB'!A:B,2,FALSE)</f>
        <v>AOCS / GNC - Engineering and SW</v>
      </c>
      <c r="AC83" s="565"/>
      <c r="AZ83" s="275"/>
    </row>
    <row r="84" spans="1:53" ht="15.75" thickBot="1">
      <c r="D84" t="s">
        <v>794</v>
      </c>
      <c r="G84" s="570"/>
      <c r="H84">
        <f t="shared" ref="H84:S84" si="30">H81+H82+H83</f>
        <v>0</v>
      </c>
      <c r="I84">
        <f t="shared" si="30"/>
        <v>49.826607217712741</v>
      </c>
      <c r="J84">
        <f>J81+J82+J83</f>
        <v>266.07408254258604</v>
      </c>
      <c r="K84">
        <f t="shared" si="30"/>
        <v>0</v>
      </c>
      <c r="L84">
        <f t="shared" si="30"/>
        <v>0</v>
      </c>
      <c r="M84">
        <f t="shared" si="30"/>
        <v>0</v>
      </c>
      <c r="N84">
        <f t="shared" si="30"/>
        <v>0</v>
      </c>
      <c r="O84">
        <f t="shared" si="30"/>
        <v>0</v>
      </c>
      <c r="P84">
        <f t="shared" si="30"/>
        <v>0</v>
      </c>
      <c r="Q84">
        <f t="shared" si="30"/>
        <v>0</v>
      </c>
      <c r="R84">
        <f t="shared" si="30"/>
        <v>0</v>
      </c>
      <c r="S84">
        <f t="shared" si="30"/>
        <v>0</v>
      </c>
      <c r="T84">
        <f>SUM(H84:S84)</f>
        <v>315.9006897602988</v>
      </c>
      <c r="W84" t="s">
        <v>794</v>
      </c>
      <c r="AC84" s="567">
        <f t="shared" ref="AC84:AE84" si="31">SUM(AC81:AC83)</f>
        <v>0</v>
      </c>
      <c r="AD84" s="265">
        <f t="shared" si="31"/>
        <v>0</v>
      </c>
      <c r="AE84" s="265">
        <f t="shared" si="31"/>
        <v>0</v>
      </c>
      <c r="AF84" s="265">
        <f>SUM(AF81:AF83)</f>
        <v>104.63587515719676</v>
      </c>
      <c r="AG84" s="265">
        <f t="shared" ref="AG84:AZ84" si="32">SUM(AG81:AG83)</f>
        <v>103.6393430128425</v>
      </c>
      <c r="AH84" s="265">
        <f t="shared" si="32"/>
        <v>29.895964330627645</v>
      </c>
      <c r="AI84" s="265">
        <f t="shared" si="32"/>
        <v>29.895964330627645</v>
      </c>
      <c r="AJ84" s="265">
        <f t="shared" si="32"/>
        <v>35.875157196753172</v>
      </c>
      <c r="AK84" s="265">
        <f t="shared" si="32"/>
        <v>11.958385732251058</v>
      </c>
      <c r="AL84" s="265">
        <f t="shared" si="32"/>
        <v>0</v>
      </c>
      <c r="AM84" s="265">
        <f t="shared" si="32"/>
        <v>0</v>
      </c>
      <c r="AN84" s="265">
        <f t="shared" si="32"/>
        <v>0</v>
      </c>
      <c r="AO84" s="265">
        <f t="shared" si="32"/>
        <v>0</v>
      </c>
      <c r="AP84" s="265">
        <f t="shared" si="32"/>
        <v>0</v>
      </c>
      <c r="AQ84" s="265">
        <f t="shared" si="32"/>
        <v>0</v>
      </c>
      <c r="AR84" s="265">
        <f t="shared" si="32"/>
        <v>0</v>
      </c>
      <c r="AS84" s="265">
        <f t="shared" si="32"/>
        <v>0</v>
      </c>
      <c r="AT84" s="265">
        <f t="shared" si="32"/>
        <v>0</v>
      </c>
      <c r="AU84" s="265">
        <f t="shared" si="32"/>
        <v>0</v>
      </c>
      <c r="AV84" s="265">
        <f t="shared" si="32"/>
        <v>0</v>
      </c>
      <c r="AW84" s="265">
        <f t="shared" si="32"/>
        <v>0</v>
      </c>
      <c r="AX84" s="265">
        <f t="shared" si="32"/>
        <v>0</v>
      </c>
      <c r="AY84" s="265">
        <f t="shared" si="32"/>
        <v>0</v>
      </c>
      <c r="AZ84" s="276">
        <f t="shared" si="32"/>
        <v>0</v>
      </c>
      <c r="BA84" s="16">
        <f>SUM(AC84:AZ84)</f>
        <v>315.90068976029875</v>
      </c>
    </row>
    <row r="85" spans="1:53" ht="33" customHeight="1" thickBot="1">
      <c r="A85" s="90"/>
      <c r="B85" s="91"/>
      <c r="C85" s="90"/>
      <c r="D85" s="90"/>
      <c r="E85" s="90"/>
      <c r="F85" s="90"/>
      <c r="G85" s="90"/>
      <c r="H85" s="90"/>
      <c r="I85" s="90"/>
      <c r="J85" s="90"/>
      <c r="K85" s="90"/>
      <c r="L85" s="90"/>
      <c r="M85" s="90"/>
      <c r="N85" s="90"/>
      <c r="O85" s="90"/>
      <c r="P85" s="90"/>
      <c r="Q85" s="90"/>
      <c r="R85" s="90"/>
      <c r="S85" s="90"/>
      <c r="W85" s="94" t="s">
        <v>999</v>
      </c>
      <c r="X85" s="579" t="s">
        <v>1000</v>
      </c>
      <c r="AF85" s="568"/>
      <c r="AG85" s="568"/>
    </row>
    <row r="86" spans="1:53">
      <c r="A86" t="s">
        <v>1001</v>
      </c>
      <c r="D86" t="s">
        <v>791</v>
      </c>
      <c r="J86">
        <v>640</v>
      </c>
      <c r="U86" s="16">
        <v>450510</v>
      </c>
      <c r="V86" t="s">
        <v>1002</v>
      </c>
      <c r="W86" t="s">
        <v>791</v>
      </c>
      <c r="AC86" s="563"/>
      <c r="AD86" s="564"/>
      <c r="AE86" s="564"/>
      <c r="AF86" s="564">
        <v>320</v>
      </c>
      <c r="AG86" s="564">
        <v>320</v>
      </c>
      <c r="AH86" s="564"/>
      <c r="AI86" s="564"/>
      <c r="AJ86" s="564"/>
      <c r="AK86" s="564"/>
      <c r="AL86" s="564"/>
      <c r="AM86" s="564"/>
      <c r="AN86" s="564"/>
      <c r="AO86" s="564"/>
      <c r="AP86" s="564"/>
      <c r="AQ86" s="564"/>
      <c r="AR86" s="564"/>
      <c r="AS86" s="564"/>
      <c r="AT86" s="564"/>
      <c r="AU86" s="564"/>
      <c r="AV86" s="564"/>
      <c r="AW86" s="564"/>
      <c r="AX86" s="564"/>
      <c r="AY86" s="564"/>
      <c r="AZ86" s="274"/>
    </row>
    <row r="87" spans="1:53">
      <c r="A87" t="s">
        <v>1002</v>
      </c>
      <c r="D87" t="s">
        <v>792</v>
      </c>
      <c r="H87">
        <f>H86*N30*0.001</f>
        <v>0</v>
      </c>
      <c r="I87">
        <f>I86*N30*0.001</f>
        <v>0</v>
      </c>
      <c r="J87">
        <f>J86*N30*0.001</f>
        <v>63.778057238672311</v>
      </c>
      <c r="K87">
        <f>K86*N30*0.001</f>
        <v>0</v>
      </c>
      <c r="L87">
        <f>L86*N30*0.001</f>
        <v>0</v>
      </c>
      <c r="M87">
        <f>M86*N30*0.001</f>
        <v>0</v>
      </c>
      <c r="N87">
        <f>N86*N30*0.001</f>
        <v>0</v>
      </c>
      <c r="O87">
        <f>O86*N30*0.001</f>
        <v>0</v>
      </c>
      <c r="P87">
        <f>P86*N30*0.001</f>
        <v>0</v>
      </c>
      <c r="Q87">
        <f>Q86*N30*0.001</f>
        <v>0</v>
      </c>
      <c r="R87">
        <f>R86*N30*0.001</f>
        <v>0</v>
      </c>
      <c r="S87">
        <f>S86*N30*0.001</f>
        <v>0</v>
      </c>
      <c r="U87" s="16">
        <v>450510</v>
      </c>
      <c r="V87" t="s">
        <v>1002</v>
      </c>
      <c r="W87" t="s">
        <v>792</v>
      </c>
      <c r="Y87" t="s">
        <v>204</v>
      </c>
      <c r="Z87" t="str">
        <f>VLOOKUP(Y87,'Price Table 8 OHB'!A:B,2,FALSE)</f>
        <v>AOCS / GNC - Engineering and SW</v>
      </c>
      <c r="AC87" s="565">
        <f>AC86*$N$30*0.001</f>
        <v>0</v>
      </c>
      <c r="AD87">
        <f t="shared" ref="AD87:AZ87" si="33">AD86*$N$30*0.001</f>
        <v>0</v>
      </c>
      <c r="AE87">
        <f t="shared" si="33"/>
        <v>0</v>
      </c>
      <c r="AF87">
        <f t="shared" si="33"/>
        <v>31.889028619336155</v>
      </c>
      <c r="AG87">
        <f t="shared" si="33"/>
        <v>31.889028619336155</v>
      </c>
      <c r="AH87">
        <f t="shared" si="33"/>
        <v>0</v>
      </c>
      <c r="AI87">
        <f t="shared" si="33"/>
        <v>0</v>
      </c>
      <c r="AJ87">
        <f t="shared" si="33"/>
        <v>0</v>
      </c>
      <c r="AK87">
        <f t="shared" si="33"/>
        <v>0</v>
      </c>
      <c r="AL87">
        <f t="shared" si="33"/>
        <v>0</v>
      </c>
      <c r="AM87">
        <f t="shared" si="33"/>
        <v>0</v>
      </c>
      <c r="AN87">
        <f t="shared" si="33"/>
        <v>0</v>
      </c>
      <c r="AO87">
        <f t="shared" si="33"/>
        <v>0</v>
      </c>
      <c r="AP87">
        <f t="shared" si="33"/>
        <v>0</v>
      </c>
      <c r="AQ87">
        <f t="shared" si="33"/>
        <v>0</v>
      </c>
      <c r="AR87">
        <f t="shared" si="33"/>
        <v>0</v>
      </c>
      <c r="AS87">
        <f t="shared" si="33"/>
        <v>0</v>
      </c>
      <c r="AT87">
        <f t="shared" si="33"/>
        <v>0</v>
      </c>
      <c r="AU87">
        <f t="shared" si="33"/>
        <v>0</v>
      </c>
      <c r="AV87">
        <f t="shared" si="33"/>
        <v>0</v>
      </c>
      <c r="AW87">
        <f t="shared" si="33"/>
        <v>0</v>
      </c>
      <c r="AX87">
        <f t="shared" si="33"/>
        <v>0</v>
      </c>
      <c r="AY87">
        <f t="shared" si="33"/>
        <v>0</v>
      </c>
      <c r="AZ87" s="275">
        <f t="shared" si="33"/>
        <v>0</v>
      </c>
    </row>
    <row r="88" spans="1:53">
      <c r="D88" t="s">
        <v>793</v>
      </c>
      <c r="U88" s="16">
        <v>450510</v>
      </c>
      <c r="V88" t="s">
        <v>1002</v>
      </c>
      <c r="W88" t="s">
        <v>793</v>
      </c>
      <c r="Y88" t="s">
        <v>592</v>
      </c>
      <c r="Z88" t="str">
        <f>VLOOKUP(Y88,'Price Table 8 OHB'!A:B,2,FALSE)</f>
        <v>AOCS / GNC - HW procurements</v>
      </c>
      <c r="AC88" s="565"/>
      <c r="AZ88" s="275"/>
    </row>
    <row r="89" spans="1:53">
      <c r="D89" t="s">
        <v>966</v>
      </c>
      <c r="U89" s="16">
        <v>450510</v>
      </c>
      <c r="V89" t="s">
        <v>1002</v>
      </c>
      <c r="W89" t="s">
        <v>966</v>
      </c>
      <c r="Y89" t="s">
        <v>204</v>
      </c>
      <c r="Z89" t="str">
        <f>VLOOKUP(Y89,'Price Table 8 OHB'!A:B,2,FALSE)</f>
        <v>AOCS / GNC - Engineering and SW</v>
      </c>
      <c r="AC89" s="565"/>
      <c r="AZ89" s="275"/>
    </row>
    <row r="90" spans="1:53" ht="15.75" thickBot="1">
      <c r="D90" t="s">
        <v>794</v>
      </c>
      <c r="G90" s="570"/>
      <c r="H90">
        <f t="shared" ref="H90:S90" si="34">H87+H88+H89</f>
        <v>0</v>
      </c>
      <c r="I90">
        <f t="shared" si="34"/>
        <v>0</v>
      </c>
      <c r="J90">
        <f>J87+J88+J89</f>
        <v>63.778057238672311</v>
      </c>
      <c r="K90">
        <f t="shared" si="34"/>
        <v>0</v>
      </c>
      <c r="L90">
        <f t="shared" si="34"/>
        <v>0</v>
      </c>
      <c r="M90">
        <f t="shared" si="34"/>
        <v>0</v>
      </c>
      <c r="N90">
        <f t="shared" si="34"/>
        <v>0</v>
      </c>
      <c r="O90">
        <f t="shared" si="34"/>
        <v>0</v>
      </c>
      <c r="P90">
        <f t="shared" si="34"/>
        <v>0</v>
      </c>
      <c r="Q90">
        <f t="shared" si="34"/>
        <v>0</v>
      </c>
      <c r="R90">
        <f t="shared" si="34"/>
        <v>0</v>
      </c>
      <c r="S90">
        <f t="shared" si="34"/>
        <v>0</v>
      </c>
      <c r="T90">
        <f>SUM(H90:S90)</f>
        <v>63.778057238672311</v>
      </c>
      <c r="W90" t="s">
        <v>794</v>
      </c>
      <c r="AC90" s="567">
        <f>SUM(AC87:AC89)</f>
        <v>0</v>
      </c>
      <c r="AD90" s="265">
        <f t="shared" ref="AD90:AZ90" si="35">SUM(AD87:AD89)</f>
        <v>0</v>
      </c>
      <c r="AE90" s="265">
        <f t="shared" si="35"/>
        <v>0</v>
      </c>
      <c r="AF90" s="265">
        <f t="shared" si="35"/>
        <v>31.889028619336155</v>
      </c>
      <c r="AG90" s="265">
        <f t="shared" si="35"/>
        <v>31.889028619336155</v>
      </c>
      <c r="AH90" s="265">
        <f t="shared" si="35"/>
        <v>0</v>
      </c>
      <c r="AI90" s="265">
        <f t="shared" si="35"/>
        <v>0</v>
      </c>
      <c r="AJ90" s="265">
        <f t="shared" si="35"/>
        <v>0</v>
      </c>
      <c r="AK90" s="265">
        <f t="shared" si="35"/>
        <v>0</v>
      </c>
      <c r="AL90" s="265">
        <f t="shared" si="35"/>
        <v>0</v>
      </c>
      <c r="AM90" s="265">
        <f t="shared" si="35"/>
        <v>0</v>
      </c>
      <c r="AN90" s="265">
        <f t="shared" si="35"/>
        <v>0</v>
      </c>
      <c r="AO90" s="265">
        <f t="shared" si="35"/>
        <v>0</v>
      </c>
      <c r="AP90" s="265">
        <f t="shared" si="35"/>
        <v>0</v>
      </c>
      <c r="AQ90" s="265">
        <f t="shared" si="35"/>
        <v>0</v>
      </c>
      <c r="AR90" s="265">
        <f t="shared" si="35"/>
        <v>0</v>
      </c>
      <c r="AS90" s="265">
        <f t="shared" si="35"/>
        <v>0</v>
      </c>
      <c r="AT90" s="265">
        <f t="shared" si="35"/>
        <v>0</v>
      </c>
      <c r="AU90" s="265">
        <f t="shared" si="35"/>
        <v>0</v>
      </c>
      <c r="AV90" s="265">
        <f t="shared" si="35"/>
        <v>0</v>
      </c>
      <c r="AW90" s="265">
        <f t="shared" si="35"/>
        <v>0</v>
      </c>
      <c r="AX90" s="265">
        <f t="shared" si="35"/>
        <v>0</v>
      </c>
      <c r="AY90" s="265">
        <f t="shared" si="35"/>
        <v>0</v>
      </c>
      <c r="AZ90" s="276">
        <f t="shared" si="35"/>
        <v>0</v>
      </c>
      <c r="BA90" s="16">
        <f>SUM(AC90:AZ90)</f>
        <v>63.778057238672311</v>
      </c>
    </row>
    <row r="91" spans="1:53" ht="33" customHeight="1" thickBot="1">
      <c r="A91" s="90"/>
      <c r="B91" s="91"/>
      <c r="C91" s="90"/>
      <c r="D91" s="90"/>
      <c r="E91" s="90"/>
      <c r="F91" s="90"/>
      <c r="G91" s="90"/>
      <c r="H91" s="90"/>
      <c r="I91" s="90"/>
      <c r="J91" s="90"/>
      <c r="K91" s="90"/>
      <c r="L91" s="90"/>
      <c r="M91" s="90"/>
      <c r="N91" s="90"/>
      <c r="O91" s="90"/>
      <c r="P91" s="90"/>
      <c r="Q91" s="90"/>
      <c r="R91" s="90"/>
      <c r="S91" s="90"/>
      <c r="W91" s="94" t="s">
        <v>1003</v>
      </c>
      <c r="X91" s="579" t="s">
        <v>1004</v>
      </c>
      <c r="AG91" s="568"/>
      <c r="AH91" s="568"/>
      <c r="AI91" s="568"/>
      <c r="AJ91" s="568"/>
      <c r="AK91" s="568"/>
      <c r="AL91" s="568"/>
    </row>
    <row r="92" spans="1:53">
      <c r="A92" t="s">
        <v>1005</v>
      </c>
      <c r="D92" t="s">
        <v>791</v>
      </c>
      <c r="J92">
        <v>345</v>
      </c>
      <c r="K92">
        <v>1671</v>
      </c>
      <c r="L92">
        <v>1475</v>
      </c>
      <c r="M92">
        <v>500</v>
      </c>
      <c r="U92" s="16">
        <v>450520</v>
      </c>
      <c r="V92" t="s">
        <v>1006</v>
      </c>
      <c r="W92" t="s">
        <v>791</v>
      </c>
      <c r="AC92" s="563"/>
      <c r="AD92" s="564"/>
      <c r="AE92" s="564"/>
      <c r="AF92" s="564"/>
      <c r="AG92" s="564">
        <v>200</v>
      </c>
      <c r="AH92" s="564">
        <v>600</v>
      </c>
      <c r="AI92" s="564">
        <v>600</v>
      </c>
      <c r="AJ92" s="564">
        <v>870</v>
      </c>
      <c r="AK92" s="564">
        <v>870</v>
      </c>
      <c r="AL92" s="564">
        <v>851</v>
      </c>
      <c r="AM92" s="564"/>
      <c r="AN92" s="564"/>
      <c r="AO92" s="564"/>
      <c r="AP92" s="564"/>
      <c r="AQ92" s="564"/>
      <c r="AR92" s="564"/>
      <c r="AS92" s="564"/>
      <c r="AT92" s="564"/>
      <c r="AU92" s="564"/>
      <c r="AV92" s="564"/>
      <c r="AW92" s="564"/>
      <c r="AX92" s="564"/>
      <c r="AY92" s="564"/>
      <c r="AZ92" s="274"/>
    </row>
    <row r="93" spans="1:53">
      <c r="A93" t="s">
        <v>1006</v>
      </c>
      <c r="C93" t="s">
        <v>1007</v>
      </c>
      <c r="D93" t="s">
        <v>792</v>
      </c>
      <c r="H93">
        <f>H92*N30*0.001</f>
        <v>0</v>
      </c>
      <c r="I93">
        <f>I92*N30*0.001</f>
        <v>0</v>
      </c>
      <c r="J93">
        <f>J92*N30*0.001</f>
        <v>34.380358980221793</v>
      </c>
      <c r="K93">
        <f>K92*N30*0.001</f>
        <v>166.52052132159599</v>
      </c>
      <c r="L93">
        <f>L92*N30*0.001</f>
        <v>146.98849129225258</v>
      </c>
      <c r="M93">
        <f>M92*N30*0.001</f>
        <v>49.826607217712741</v>
      </c>
      <c r="N93">
        <f>N92*N30*0.001</f>
        <v>0</v>
      </c>
      <c r="O93">
        <f>O92*N30*0.001</f>
        <v>0</v>
      </c>
      <c r="P93">
        <f>P92*N30*0.001</f>
        <v>0</v>
      </c>
      <c r="Q93">
        <f>Q92*N30*0.001</f>
        <v>0</v>
      </c>
      <c r="R93">
        <f>R92*N30*0.001</f>
        <v>0</v>
      </c>
      <c r="S93">
        <f>S92*N30*0.001</f>
        <v>0</v>
      </c>
      <c r="U93" s="16">
        <v>450520</v>
      </c>
      <c r="V93" t="s">
        <v>1006</v>
      </c>
      <c r="W93" t="s">
        <v>792</v>
      </c>
      <c r="Y93" t="s">
        <v>204</v>
      </c>
      <c r="Z93" t="str">
        <f>VLOOKUP(Y93,'Price Table 8 OHB'!A:B,2,FALSE)</f>
        <v>AOCS / GNC - Engineering and SW</v>
      </c>
      <c r="AC93" s="565">
        <f>AC92*$N$30*0.001</f>
        <v>0</v>
      </c>
      <c r="AD93">
        <f t="shared" ref="AD93:AZ93" si="36">AD92*$N$30*0.001</f>
        <v>0</v>
      </c>
      <c r="AE93">
        <f t="shared" si="36"/>
        <v>0</v>
      </c>
      <c r="AF93">
        <f t="shared" si="36"/>
        <v>0</v>
      </c>
      <c r="AG93">
        <f t="shared" si="36"/>
        <v>19.930642887085099</v>
      </c>
      <c r="AH93">
        <f t="shared" si="36"/>
        <v>59.791928661255291</v>
      </c>
      <c r="AI93">
        <f t="shared" si="36"/>
        <v>59.791928661255291</v>
      </c>
      <c r="AJ93">
        <f t="shared" si="36"/>
        <v>86.698296558820175</v>
      </c>
      <c r="AK93">
        <f t="shared" si="36"/>
        <v>86.698296558820175</v>
      </c>
      <c r="AL93">
        <f t="shared" si="36"/>
        <v>84.8048854845471</v>
      </c>
      <c r="AM93">
        <f t="shared" si="36"/>
        <v>0</v>
      </c>
      <c r="AN93">
        <f t="shared" si="36"/>
        <v>0</v>
      </c>
      <c r="AO93">
        <f t="shared" si="36"/>
        <v>0</v>
      </c>
      <c r="AP93">
        <f t="shared" si="36"/>
        <v>0</v>
      </c>
      <c r="AQ93">
        <f t="shared" si="36"/>
        <v>0</v>
      </c>
      <c r="AR93">
        <f t="shared" si="36"/>
        <v>0</v>
      </c>
      <c r="AS93">
        <f t="shared" si="36"/>
        <v>0</v>
      </c>
      <c r="AT93">
        <f t="shared" si="36"/>
        <v>0</v>
      </c>
      <c r="AU93">
        <f t="shared" si="36"/>
        <v>0</v>
      </c>
      <c r="AV93">
        <f t="shared" si="36"/>
        <v>0</v>
      </c>
      <c r="AW93">
        <f t="shared" si="36"/>
        <v>0</v>
      </c>
      <c r="AX93">
        <f t="shared" si="36"/>
        <v>0</v>
      </c>
      <c r="AY93">
        <f t="shared" si="36"/>
        <v>0</v>
      </c>
      <c r="AZ93" s="275">
        <f t="shared" si="36"/>
        <v>0</v>
      </c>
    </row>
    <row r="94" spans="1:53">
      <c r="D94" t="s">
        <v>793</v>
      </c>
      <c r="U94" s="16">
        <v>450520</v>
      </c>
      <c r="V94" t="s">
        <v>1006</v>
      </c>
      <c r="W94" t="s">
        <v>793</v>
      </c>
      <c r="Y94" t="s">
        <v>592</v>
      </c>
      <c r="Z94" t="str">
        <f>VLOOKUP(Y94,'Price Table 8 OHB'!A:B,2,FALSE)</f>
        <v>AOCS / GNC - HW procurements</v>
      </c>
      <c r="AC94" s="565"/>
      <c r="AZ94" s="275"/>
    </row>
    <row r="95" spans="1:53">
      <c r="D95" t="s">
        <v>966</v>
      </c>
      <c r="U95" s="16">
        <v>450520</v>
      </c>
      <c r="V95" t="s">
        <v>1006</v>
      </c>
      <c r="W95" t="s">
        <v>966</v>
      </c>
      <c r="Y95" t="s">
        <v>204</v>
      </c>
      <c r="Z95" t="str">
        <f>VLOOKUP(Y95,'Price Table 8 OHB'!A:B,2,FALSE)</f>
        <v>AOCS / GNC - Engineering and SW</v>
      </c>
      <c r="AC95" s="565"/>
      <c r="AZ95" s="275"/>
    </row>
    <row r="96" spans="1:53" ht="15.75" thickBot="1">
      <c r="D96" t="s">
        <v>794</v>
      </c>
      <c r="G96" s="570"/>
      <c r="H96">
        <f t="shared" ref="H96:S96" si="37">H93+H94+H95</f>
        <v>0</v>
      </c>
      <c r="I96">
        <f t="shared" si="37"/>
        <v>0</v>
      </c>
      <c r="J96">
        <f>J93+J94+J95</f>
        <v>34.380358980221793</v>
      </c>
      <c r="K96">
        <f t="shared" si="37"/>
        <v>166.52052132159599</v>
      </c>
      <c r="L96">
        <f t="shared" si="37"/>
        <v>146.98849129225258</v>
      </c>
      <c r="M96">
        <f t="shared" si="37"/>
        <v>49.826607217712741</v>
      </c>
      <c r="N96">
        <f t="shared" si="37"/>
        <v>0</v>
      </c>
      <c r="O96">
        <f t="shared" si="37"/>
        <v>0</v>
      </c>
      <c r="P96">
        <f t="shared" si="37"/>
        <v>0</v>
      </c>
      <c r="Q96">
        <f t="shared" si="37"/>
        <v>0</v>
      </c>
      <c r="R96">
        <f t="shared" si="37"/>
        <v>0</v>
      </c>
      <c r="S96">
        <f t="shared" si="37"/>
        <v>0</v>
      </c>
      <c r="T96">
        <f>SUM(H96:S96)</f>
        <v>397.71597881178309</v>
      </c>
      <c r="W96" t="s">
        <v>794</v>
      </c>
      <c r="AC96" s="567">
        <f>SUM(AC93:AC95)</f>
        <v>0</v>
      </c>
      <c r="AD96" s="265">
        <f t="shared" ref="AD96:AZ96" si="38">SUM(AD93:AD95)</f>
        <v>0</v>
      </c>
      <c r="AE96" s="265">
        <f t="shared" si="38"/>
        <v>0</v>
      </c>
      <c r="AF96" s="265">
        <f t="shared" si="38"/>
        <v>0</v>
      </c>
      <c r="AG96" s="265">
        <f t="shared" si="38"/>
        <v>19.930642887085099</v>
      </c>
      <c r="AH96" s="265">
        <f t="shared" si="38"/>
        <v>59.791928661255291</v>
      </c>
      <c r="AI96" s="265">
        <f t="shared" si="38"/>
        <v>59.791928661255291</v>
      </c>
      <c r="AJ96" s="265">
        <f t="shared" si="38"/>
        <v>86.698296558820175</v>
      </c>
      <c r="AK96" s="265">
        <f t="shared" si="38"/>
        <v>86.698296558820175</v>
      </c>
      <c r="AL96" s="265">
        <f t="shared" si="38"/>
        <v>84.8048854845471</v>
      </c>
      <c r="AM96" s="265">
        <f t="shared" si="38"/>
        <v>0</v>
      </c>
      <c r="AN96" s="265">
        <f t="shared" si="38"/>
        <v>0</v>
      </c>
      <c r="AO96" s="265">
        <f t="shared" si="38"/>
        <v>0</v>
      </c>
      <c r="AP96" s="265">
        <f t="shared" si="38"/>
        <v>0</v>
      </c>
      <c r="AQ96" s="265">
        <f t="shared" si="38"/>
        <v>0</v>
      </c>
      <c r="AR96" s="265">
        <f t="shared" si="38"/>
        <v>0</v>
      </c>
      <c r="AS96" s="265">
        <f t="shared" si="38"/>
        <v>0</v>
      </c>
      <c r="AT96" s="265">
        <f t="shared" si="38"/>
        <v>0</v>
      </c>
      <c r="AU96" s="265">
        <f t="shared" si="38"/>
        <v>0</v>
      </c>
      <c r="AV96" s="265">
        <f t="shared" si="38"/>
        <v>0</v>
      </c>
      <c r="AW96" s="265">
        <f t="shared" si="38"/>
        <v>0</v>
      </c>
      <c r="AX96" s="265">
        <f t="shared" si="38"/>
        <v>0</v>
      </c>
      <c r="AY96" s="265">
        <f t="shared" si="38"/>
        <v>0</v>
      </c>
      <c r="AZ96" s="276">
        <f t="shared" si="38"/>
        <v>0</v>
      </c>
      <c r="BA96" s="16">
        <f>SUM(AC96:AZ96)</f>
        <v>397.71597881178309</v>
      </c>
    </row>
    <row r="97" spans="1:53" ht="33" customHeight="1" thickBot="1">
      <c r="A97" s="90"/>
      <c r="B97" s="91"/>
      <c r="C97" s="90"/>
      <c r="D97" s="90"/>
      <c r="E97" s="90"/>
      <c r="F97" s="90"/>
      <c r="G97" s="90"/>
      <c r="H97" s="90"/>
      <c r="I97" s="90"/>
      <c r="J97" s="90"/>
      <c r="K97" s="90"/>
      <c r="L97" s="90"/>
      <c r="M97" s="90"/>
      <c r="N97" s="90"/>
      <c r="O97" s="90"/>
      <c r="P97" s="90"/>
      <c r="Q97" s="90"/>
      <c r="R97" s="90"/>
      <c r="S97" s="90"/>
      <c r="W97" s="94" t="s">
        <v>1008</v>
      </c>
      <c r="X97" s="579" t="s">
        <v>1009</v>
      </c>
      <c r="AL97" s="568"/>
      <c r="AM97" s="568"/>
      <c r="AN97" s="568"/>
    </row>
    <row r="98" spans="1:53">
      <c r="A98" t="s">
        <v>1010</v>
      </c>
      <c r="D98" t="s">
        <v>791</v>
      </c>
      <c r="M98">
        <v>1548</v>
      </c>
      <c r="N98">
        <v>640</v>
      </c>
      <c r="U98" s="16">
        <v>450530</v>
      </c>
      <c r="V98" t="s">
        <v>1011</v>
      </c>
      <c r="W98" t="s">
        <v>791</v>
      </c>
      <c r="AC98" s="563"/>
      <c r="AD98" s="564"/>
      <c r="AE98" s="564"/>
      <c r="AF98" s="564"/>
      <c r="AG98" s="564"/>
      <c r="AH98" s="564"/>
      <c r="AI98" s="564"/>
      <c r="AJ98" s="564"/>
      <c r="AK98" s="564"/>
      <c r="AL98" s="564">
        <v>143</v>
      </c>
      <c r="AM98" s="564">
        <v>1227</v>
      </c>
      <c r="AN98" s="564">
        <v>818</v>
      </c>
      <c r="AO98" s="564"/>
      <c r="AP98" s="564"/>
      <c r="AQ98" s="564"/>
      <c r="AR98" s="564"/>
      <c r="AS98" s="564"/>
      <c r="AT98" s="564"/>
      <c r="AU98" s="564"/>
      <c r="AV98" s="564"/>
      <c r="AW98" s="564"/>
      <c r="AX98" s="564"/>
      <c r="AY98" s="564"/>
      <c r="AZ98" s="274"/>
    </row>
    <row r="99" spans="1:53">
      <c r="A99" t="s">
        <v>1011</v>
      </c>
      <c r="D99" t="s">
        <v>792</v>
      </c>
      <c r="H99">
        <f>H98*N30*0.001</f>
        <v>0</v>
      </c>
      <c r="I99">
        <f>I98*N30*0.001</f>
        <v>0</v>
      </c>
      <c r="J99">
        <f>J98*0.001*0.001</f>
        <v>0</v>
      </c>
      <c r="K99">
        <f>K98*N30*0.001</f>
        <v>0</v>
      </c>
      <c r="L99">
        <f>L98*N30*0.001</f>
        <v>0</v>
      </c>
      <c r="M99">
        <f>M98*N30*0.001</f>
        <v>154.26317594603864</v>
      </c>
      <c r="N99">
        <f>N98*N30*0.001</f>
        <v>63.778057238672311</v>
      </c>
      <c r="O99">
        <f>O98*N30*0.001</f>
        <v>0</v>
      </c>
      <c r="P99">
        <f>P98*N30*0.001</f>
        <v>0</v>
      </c>
      <c r="Q99">
        <f>Q98*N30*0.001</f>
        <v>0</v>
      </c>
      <c r="R99">
        <f>R98*N30*0.001</f>
        <v>0</v>
      </c>
      <c r="S99">
        <f>S98*N30*0.001</f>
        <v>0</v>
      </c>
      <c r="U99" s="16">
        <v>450530</v>
      </c>
      <c r="V99" t="s">
        <v>1011</v>
      </c>
      <c r="W99" t="s">
        <v>792</v>
      </c>
      <c r="Y99" t="s">
        <v>204</v>
      </c>
      <c r="Z99" t="str">
        <f>VLOOKUP(Y99,'Price Table 8 OHB'!A:B,2,FALSE)</f>
        <v>AOCS / GNC - Engineering and SW</v>
      </c>
      <c r="AC99" s="565">
        <f>AC98*$N$30*0.001</f>
        <v>0</v>
      </c>
      <c r="AD99">
        <f t="shared" ref="AD99:AZ99" si="39">AD98*$N$30*0.001</f>
        <v>0</v>
      </c>
      <c r="AE99">
        <f t="shared" si="39"/>
        <v>0</v>
      </c>
      <c r="AF99">
        <f t="shared" si="39"/>
        <v>0</v>
      </c>
      <c r="AG99">
        <f t="shared" si="39"/>
        <v>0</v>
      </c>
      <c r="AH99">
        <f t="shared" si="39"/>
        <v>0</v>
      </c>
      <c r="AI99">
        <f t="shared" si="39"/>
        <v>0</v>
      </c>
      <c r="AJ99">
        <f t="shared" si="39"/>
        <v>0</v>
      </c>
      <c r="AK99">
        <f t="shared" si="39"/>
        <v>0</v>
      </c>
      <c r="AL99">
        <f t="shared" si="39"/>
        <v>14.250409664265845</v>
      </c>
      <c r="AM99">
        <f t="shared" si="39"/>
        <v>122.27449411226708</v>
      </c>
      <c r="AN99">
        <f t="shared" si="39"/>
        <v>81.516329408178052</v>
      </c>
      <c r="AO99">
        <f t="shared" si="39"/>
        <v>0</v>
      </c>
      <c r="AP99">
        <f t="shared" si="39"/>
        <v>0</v>
      </c>
      <c r="AQ99">
        <f t="shared" si="39"/>
        <v>0</v>
      </c>
      <c r="AR99">
        <f t="shared" si="39"/>
        <v>0</v>
      </c>
      <c r="AS99">
        <f t="shared" si="39"/>
        <v>0</v>
      </c>
      <c r="AT99">
        <f t="shared" si="39"/>
        <v>0</v>
      </c>
      <c r="AU99">
        <f t="shared" si="39"/>
        <v>0</v>
      </c>
      <c r="AV99">
        <f t="shared" si="39"/>
        <v>0</v>
      </c>
      <c r="AW99">
        <f t="shared" si="39"/>
        <v>0</v>
      </c>
      <c r="AX99">
        <f t="shared" si="39"/>
        <v>0</v>
      </c>
      <c r="AY99">
        <f t="shared" si="39"/>
        <v>0</v>
      </c>
      <c r="AZ99" s="275">
        <f t="shared" si="39"/>
        <v>0</v>
      </c>
    </row>
    <row r="100" spans="1:53">
      <c r="D100" t="s">
        <v>793</v>
      </c>
      <c r="U100" s="16">
        <v>450530</v>
      </c>
      <c r="V100" t="s">
        <v>1011</v>
      </c>
      <c r="W100" t="s">
        <v>793</v>
      </c>
      <c r="Y100" t="s">
        <v>592</v>
      </c>
      <c r="Z100" t="str">
        <f>VLOOKUP(Y100,'Price Table 8 OHB'!A:B,2,FALSE)</f>
        <v>AOCS / GNC - HW procurements</v>
      </c>
      <c r="AC100" s="565"/>
      <c r="AZ100" s="275"/>
    </row>
    <row r="101" spans="1:53">
      <c r="D101" t="s">
        <v>966</v>
      </c>
      <c r="U101" s="16">
        <v>450530</v>
      </c>
      <c r="V101" t="s">
        <v>1011</v>
      </c>
      <c r="W101" t="s">
        <v>966</v>
      </c>
      <c r="Y101" t="s">
        <v>204</v>
      </c>
      <c r="Z101" t="str">
        <f>VLOOKUP(Y101,'Price Table 8 OHB'!A:B,2,FALSE)</f>
        <v>AOCS / GNC - Engineering and SW</v>
      </c>
      <c r="AC101" s="565"/>
      <c r="AZ101" s="275"/>
    </row>
    <row r="102" spans="1:53" ht="15.75" thickBot="1">
      <c r="D102" t="s">
        <v>794</v>
      </c>
      <c r="G102" s="570"/>
      <c r="H102">
        <f t="shared" ref="H102:S102" si="40">H99+H100+H101</f>
        <v>0</v>
      </c>
      <c r="I102">
        <f t="shared" si="40"/>
        <v>0</v>
      </c>
      <c r="J102">
        <f>J99+J100+J101</f>
        <v>0</v>
      </c>
      <c r="K102">
        <f t="shared" si="40"/>
        <v>0</v>
      </c>
      <c r="L102">
        <f t="shared" si="40"/>
        <v>0</v>
      </c>
      <c r="M102">
        <f t="shared" si="40"/>
        <v>154.26317594603864</v>
      </c>
      <c r="N102">
        <f t="shared" si="40"/>
        <v>63.778057238672311</v>
      </c>
      <c r="O102">
        <f t="shared" si="40"/>
        <v>0</v>
      </c>
      <c r="P102">
        <f t="shared" si="40"/>
        <v>0</v>
      </c>
      <c r="Q102">
        <f t="shared" si="40"/>
        <v>0</v>
      </c>
      <c r="R102">
        <f t="shared" si="40"/>
        <v>0</v>
      </c>
      <c r="S102">
        <f t="shared" si="40"/>
        <v>0</v>
      </c>
      <c r="T102">
        <f>SUM(H102:S102)</f>
        <v>218.04123318471096</v>
      </c>
      <c r="W102" t="s">
        <v>794</v>
      </c>
      <c r="AC102" s="567">
        <f>SUM(AC99:AC101)</f>
        <v>0</v>
      </c>
      <c r="AD102" s="265">
        <f t="shared" ref="AD102:AZ102" si="41">SUM(AD99:AD101)</f>
        <v>0</v>
      </c>
      <c r="AE102" s="265">
        <f t="shared" si="41"/>
        <v>0</v>
      </c>
      <c r="AF102" s="265">
        <f t="shared" si="41"/>
        <v>0</v>
      </c>
      <c r="AG102" s="265">
        <f t="shared" si="41"/>
        <v>0</v>
      </c>
      <c r="AH102" s="265">
        <f t="shared" si="41"/>
        <v>0</v>
      </c>
      <c r="AI102" s="265">
        <f t="shared" si="41"/>
        <v>0</v>
      </c>
      <c r="AJ102" s="265">
        <f t="shared" si="41"/>
        <v>0</v>
      </c>
      <c r="AK102" s="265">
        <f t="shared" si="41"/>
        <v>0</v>
      </c>
      <c r="AL102" s="265">
        <f t="shared" si="41"/>
        <v>14.250409664265845</v>
      </c>
      <c r="AM102" s="265">
        <f t="shared" si="41"/>
        <v>122.27449411226708</v>
      </c>
      <c r="AN102" s="265">
        <f t="shared" si="41"/>
        <v>81.516329408178052</v>
      </c>
      <c r="AO102" s="265">
        <f t="shared" si="41"/>
        <v>0</v>
      </c>
      <c r="AP102" s="265">
        <f t="shared" si="41"/>
        <v>0</v>
      </c>
      <c r="AQ102" s="265">
        <f t="shared" si="41"/>
        <v>0</v>
      </c>
      <c r="AR102" s="265">
        <f t="shared" si="41"/>
        <v>0</v>
      </c>
      <c r="AS102" s="265">
        <f t="shared" si="41"/>
        <v>0</v>
      </c>
      <c r="AT102" s="265">
        <f t="shared" si="41"/>
        <v>0</v>
      </c>
      <c r="AU102" s="265">
        <f t="shared" si="41"/>
        <v>0</v>
      </c>
      <c r="AV102" s="265">
        <f t="shared" si="41"/>
        <v>0</v>
      </c>
      <c r="AW102" s="265">
        <f t="shared" si="41"/>
        <v>0</v>
      </c>
      <c r="AX102" s="265">
        <f t="shared" si="41"/>
        <v>0</v>
      </c>
      <c r="AY102" s="265">
        <f t="shared" si="41"/>
        <v>0</v>
      </c>
      <c r="AZ102" s="276">
        <f t="shared" si="41"/>
        <v>0</v>
      </c>
      <c r="BA102" s="16">
        <f>SUM(AC102:AZ102)</f>
        <v>218.04123318471099</v>
      </c>
    </row>
    <row r="103" spans="1:53" ht="33" customHeight="1" thickBot="1">
      <c r="A103" s="90"/>
      <c r="B103" s="91"/>
      <c r="C103" s="90"/>
      <c r="D103" s="90"/>
      <c r="E103" s="90"/>
      <c r="F103" s="90"/>
      <c r="G103" s="90"/>
      <c r="H103" s="90"/>
      <c r="I103" s="90"/>
      <c r="J103" s="90"/>
      <c r="K103" s="90"/>
      <c r="L103" s="90"/>
      <c r="M103" s="90"/>
      <c r="N103" s="90"/>
      <c r="O103" s="90"/>
      <c r="P103" s="90"/>
      <c r="Q103" s="90"/>
      <c r="R103" s="90"/>
      <c r="S103" s="90"/>
      <c r="W103" s="94" t="s">
        <v>1012</v>
      </c>
      <c r="X103" s="579" t="s">
        <v>1013</v>
      </c>
      <c r="AF103" s="568"/>
      <c r="AG103" s="568"/>
      <c r="AH103" s="568"/>
      <c r="AI103" s="568"/>
      <c r="AJ103" s="568"/>
      <c r="AK103" s="568"/>
      <c r="AL103" s="568"/>
    </row>
    <row r="104" spans="1:53">
      <c r="A104" t="s">
        <v>1014</v>
      </c>
      <c r="D104" t="s">
        <v>791</v>
      </c>
      <c r="I104">
        <v>2140</v>
      </c>
      <c r="J104">
        <v>2140</v>
      </c>
      <c r="K104">
        <v>500</v>
      </c>
      <c r="U104" s="16">
        <v>450610</v>
      </c>
      <c r="V104" t="s">
        <v>1015</v>
      </c>
      <c r="W104" t="s">
        <v>791</v>
      </c>
      <c r="AC104" s="563"/>
      <c r="AD104" s="564"/>
      <c r="AE104" s="564"/>
      <c r="AF104" s="564">
        <v>753</v>
      </c>
      <c r="AG104" s="564">
        <v>753</v>
      </c>
      <c r="AH104" s="564">
        <v>753</v>
      </c>
      <c r="AI104" s="564">
        <v>753</v>
      </c>
      <c r="AJ104" s="564">
        <v>660</v>
      </c>
      <c r="AK104" s="564">
        <v>660</v>
      </c>
      <c r="AL104" s="564">
        <v>448</v>
      </c>
      <c r="AM104" s="564"/>
      <c r="AN104" s="564"/>
      <c r="AO104" s="564"/>
      <c r="AP104" s="564"/>
      <c r="AQ104" s="564"/>
      <c r="AR104" s="564"/>
      <c r="AS104" s="564"/>
      <c r="AT104" s="564"/>
      <c r="AU104" s="564"/>
      <c r="AV104" s="564"/>
      <c r="AW104" s="564"/>
      <c r="AX104" s="564"/>
      <c r="AY104" s="564"/>
      <c r="AZ104" s="274"/>
    </row>
    <row r="105" spans="1:53">
      <c r="A105" t="s">
        <v>1015</v>
      </c>
      <c r="D105" t="s">
        <v>792</v>
      </c>
      <c r="H105">
        <f>H104*N30*0.001</f>
        <v>0</v>
      </c>
      <c r="I105">
        <f>I104*N30*0.001</f>
        <v>213.25787889181055</v>
      </c>
      <c r="J105">
        <f>J104*N30*0.001</f>
        <v>213.25787889181055</v>
      </c>
      <c r="K105">
        <f>K104*N30*0.001</f>
        <v>49.826607217712741</v>
      </c>
      <c r="L105">
        <f>L104*N30*0.001</f>
        <v>0</v>
      </c>
      <c r="M105">
        <f>M104*N30*0.001</f>
        <v>0</v>
      </c>
      <c r="N105">
        <f>N104*N30*0.001</f>
        <v>0</v>
      </c>
      <c r="O105">
        <f>O104*N30*0.001</f>
        <v>0</v>
      </c>
      <c r="P105">
        <f>P104*N30*0.001</f>
        <v>0</v>
      </c>
      <c r="Q105">
        <f>Q104*N30*0.001</f>
        <v>0</v>
      </c>
      <c r="R105">
        <f>R104*N30*0.001</f>
        <v>0</v>
      </c>
      <c r="S105">
        <f>S104*N30*0.001</f>
        <v>0</v>
      </c>
      <c r="U105" s="16">
        <v>450610</v>
      </c>
      <c r="V105" t="s">
        <v>1015</v>
      </c>
      <c r="W105" t="s">
        <v>792</v>
      </c>
      <c r="Y105" t="s">
        <v>204</v>
      </c>
      <c r="Z105" t="str">
        <f>VLOOKUP(Y105,'Price Table 8 OHB'!A:B,2,FALSE)</f>
        <v>AOCS / GNC - Engineering and SW</v>
      </c>
      <c r="AC105" s="565">
        <f>AC104*$N$30*0.001</f>
        <v>0</v>
      </c>
      <c r="AD105">
        <f t="shared" ref="AD105:AZ105" si="42">AD104*$N$30*0.001</f>
        <v>0</v>
      </c>
      <c r="AE105">
        <f t="shared" si="42"/>
        <v>0</v>
      </c>
      <c r="AF105">
        <f t="shared" si="42"/>
        <v>75.038870469875391</v>
      </c>
      <c r="AG105">
        <f t="shared" si="42"/>
        <v>75.038870469875391</v>
      </c>
      <c r="AH105">
        <f t="shared" si="42"/>
        <v>75.038870469875391</v>
      </c>
      <c r="AI105">
        <f t="shared" si="42"/>
        <v>75.038870469875391</v>
      </c>
      <c r="AJ105">
        <f t="shared" si="42"/>
        <v>65.771121527380814</v>
      </c>
      <c r="AK105">
        <f t="shared" si="42"/>
        <v>65.771121527380814</v>
      </c>
      <c r="AL105">
        <f t="shared" si="42"/>
        <v>44.644640067070611</v>
      </c>
      <c r="AM105">
        <f t="shared" si="42"/>
        <v>0</v>
      </c>
      <c r="AN105">
        <f t="shared" si="42"/>
        <v>0</v>
      </c>
      <c r="AO105">
        <f t="shared" si="42"/>
        <v>0</v>
      </c>
      <c r="AP105">
        <f t="shared" si="42"/>
        <v>0</v>
      </c>
      <c r="AQ105">
        <f t="shared" si="42"/>
        <v>0</v>
      </c>
      <c r="AR105">
        <f t="shared" si="42"/>
        <v>0</v>
      </c>
      <c r="AS105">
        <f t="shared" si="42"/>
        <v>0</v>
      </c>
      <c r="AT105">
        <f t="shared" si="42"/>
        <v>0</v>
      </c>
      <c r="AU105">
        <f t="shared" si="42"/>
        <v>0</v>
      </c>
      <c r="AV105">
        <f t="shared" si="42"/>
        <v>0</v>
      </c>
      <c r="AW105">
        <f t="shared" si="42"/>
        <v>0</v>
      </c>
      <c r="AX105">
        <f t="shared" si="42"/>
        <v>0</v>
      </c>
      <c r="AY105">
        <f t="shared" si="42"/>
        <v>0</v>
      </c>
      <c r="AZ105" s="275">
        <f t="shared" si="42"/>
        <v>0</v>
      </c>
    </row>
    <row r="106" spans="1:53">
      <c r="D106" t="s">
        <v>793</v>
      </c>
      <c r="U106" s="16">
        <v>450610</v>
      </c>
      <c r="V106" t="s">
        <v>1015</v>
      </c>
      <c r="W106" t="s">
        <v>793</v>
      </c>
      <c r="Y106" t="s">
        <v>592</v>
      </c>
      <c r="Z106" t="str">
        <f>VLOOKUP(Y106,'Price Table 8 OHB'!A:B,2,FALSE)</f>
        <v>AOCS / GNC - HW procurements</v>
      </c>
      <c r="AC106" s="565"/>
      <c r="AZ106" s="275"/>
    </row>
    <row r="107" spans="1:53">
      <c r="D107" t="s">
        <v>966</v>
      </c>
      <c r="U107" s="16">
        <v>450610</v>
      </c>
      <c r="V107" t="s">
        <v>1015</v>
      </c>
      <c r="W107" t="s">
        <v>966</v>
      </c>
      <c r="Y107" t="s">
        <v>204</v>
      </c>
      <c r="Z107" t="str">
        <f>VLOOKUP(Y107,'Price Table 8 OHB'!A:B,2,FALSE)</f>
        <v>AOCS / GNC - Engineering and SW</v>
      </c>
      <c r="AC107" s="565"/>
      <c r="AZ107" s="275"/>
    </row>
    <row r="108" spans="1:53" ht="15.75" thickBot="1">
      <c r="D108" t="s">
        <v>794</v>
      </c>
      <c r="G108" s="570"/>
      <c r="H108">
        <f t="shared" ref="H108:S108" si="43">H105+H106+H107</f>
        <v>0</v>
      </c>
      <c r="I108">
        <f t="shared" si="43"/>
        <v>213.25787889181055</v>
      </c>
      <c r="J108">
        <f>J105+J106+J107</f>
        <v>213.25787889181055</v>
      </c>
      <c r="K108">
        <f t="shared" si="43"/>
        <v>49.826607217712741</v>
      </c>
      <c r="L108">
        <f t="shared" si="43"/>
        <v>0</v>
      </c>
      <c r="M108">
        <f t="shared" si="43"/>
        <v>0</v>
      </c>
      <c r="N108">
        <f t="shared" si="43"/>
        <v>0</v>
      </c>
      <c r="O108">
        <f t="shared" si="43"/>
        <v>0</v>
      </c>
      <c r="P108">
        <f t="shared" si="43"/>
        <v>0</v>
      </c>
      <c r="Q108">
        <f t="shared" si="43"/>
        <v>0</v>
      </c>
      <c r="R108">
        <f t="shared" si="43"/>
        <v>0</v>
      </c>
      <c r="S108">
        <f t="shared" si="43"/>
        <v>0</v>
      </c>
      <c r="T108">
        <f>SUM(H108:S108)</f>
        <v>476.34236500133386</v>
      </c>
      <c r="W108" t="s">
        <v>794</v>
      </c>
      <c r="AC108" s="567">
        <f>SUM(AC105:AC107)</f>
        <v>0</v>
      </c>
      <c r="AD108" s="265">
        <f t="shared" ref="AD108:AZ108" si="44">SUM(AD105:AD107)</f>
        <v>0</v>
      </c>
      <c r="AE108" s="265">
        <f t="shared" si="44"/>
        <v>0</v>
      </c>
      <c r="AF108" s="265">
        <f t="shared" si="44"/>
        <v>75.038870469875391</v>
      </c>
      <c r="AG108" s="265">
        <f t="shared" si="44"/>
        <v>75.038870469875391</v>
      </c>
      <c r="AH108" s="265">
        <f t="shared" si="44"/>
        <v>75.038870469875391</v>
      </c>
      <c r="AI108" s="265">
        <f t="shared" si="44"/>
        <v>75.038870469875391</v>
      </c>
      <c r="AJ108" s="265">
        <f t="shared" si="44"/>
        <v>65.771121527380814</v>
      </c>
      <c r="AK108" s="265">
        <f t="shared" si="44"/>
        <v>65.771121527380814</v>
      </c>
      <c r="AL108" s="265">
        <f t="shared" si="44"/>
        <v>44.644640067070611</v>
      </c>
      <c r="AM108" s="265">
        <f t="shared" si="44"/>
        <v>0</v>
      </c>
      <c r="AN108" s="265">
        <f t="shared" si="44"/>
        <v>0</v>
      </c>
      <c r="AO108" s="265">
        <f t="shared" si="44"/>
        <v>0</v>
      </c>
      <c r="AP108" s="265">
        <f t="shared" si="44"/>
        <v>0</v>
      </c>
      <c r="AQ108" s="265">
        <f t="shared" si="44"/>
        <v>0</v>
      </c>
      <c r="AR108" s="265">
        <f t="shared" si="44"/>
        <v>0</v>
      </c>
      <c r="AS108" s="265">
        <f t="shared" si="44"/>
        <v>0</v>
      </c>
      <c r="AT108" s="265">
        <f t="shared" si="44"/>
        <v>0</v>
      </c>
      <c r="AU108" s="265">
        <f t="shared" si="44"/>
        <v>0</v>
      </c>
      <c r="AV108" s="265">
        <f t="shared" si="44"/>
        <v>0</v>
      </c>
      <c r="AW108" s="265">
        <f t="shared" si="44"/>
        <v>0</v>
      </c>
      <c r="AX108" s="265">
        <f t="shared" si="44"/>
        <v>0</v>
      </c>
      <c r="AY108" s="265">
        <f t="shared" si="44"/>
        <v>0</v>
      </c>
      <c r="AZ108" s="276">
        <f t="shared" si="44"/>
        <v>0</v>
      </c>
      <c r="BA108" s="16">
        <f>SUM(AC108:AZ108)</f>
        <v>476.3423650013338</v>
      </c>
    </row>
    <row r="109" spans="1:53" ht="33" customHeight="1" thickBot="1">
      <c r="A109" s="90"/>
      <c r="B109" s="91"/>
      <c r="C109" s="90"/>
      <c r="D109" s="90"/>
      <c r="E109" s="90"/>
      <c r="F109" s="90"/>
      <c r="G109" s="90"/>
      <c r="H109" s="90"/>
      <c r="I109" s="90"/>
      <c r="J109" s="90"/>
      <c r="K109" s="90"/>
      <c r="L109" s="90"/>
      <c r="M109" s="90"/>
      <c r="N109" s="90"/>
      <c r="O109" s="90"/>
      <c r="P109" s="90"/>
      <c r="Q109" s="90"/>
      <c r="R109" s="90"/>
      <c r="S109" s="90"/>
      <c r="W109" s="94" t="s">
        <v>1016</v>
      </c>
      <c r="X109" s="579" t="s">
        <v>1013</v>
      </c>
      <c r="AF109" s="568"/>
      <c r="AG109" s="568"/>
      <c r="AH109" s="568"/>
      <c r="AI109" s="568"/>
      <c r="AJ109" s="568"/>
      <c r="AK109" s="568"/>
      <c r="AL109" s="568"/>
    </row>
    <row r="110" spans="1:53">
      <c r="A110" t="s">
        <v>1017</v>
      </c>
      <c r="D110" t="s">
        <v>791</v>
      </c>
      <c r="I110">
        <v>300</v>
      </c>
      <c r="J110">
        <v>600</v>
      </c>
      <c r="K110">
        <v>600</v>
      </c>
      <c r="L110">
        <v>444</v>
      </c>
      <c r="U110" s="16">
        <v>450620</v>
      </c>
      <c r="V110" t="s">
        <v>1018</v>
      </c>
      <c r="W110" t="s">
        <v>791</v>
      </c>
      <c r="AC110" s="563"/>
      <c r="AD110" s="564"/>
      <c r="AE110" s="564"/>
      <c r="AF110" s="564">
        <v>264</v>
      </c>
      <c r="AG110" s="564">
        <v>264</v>
      </c>
      <c r="AH110" s="564">
        <v>264</v>
      </c>
      <c r="AI110" s="564">
        <v>264</v>
      </c>
      <c r="AJ110" s="564">
        <v>330</v>
      </c>
      <c r="AK110" s="564">
        <v>330</v>
      </c>
      <c r="AL110" s="564">
        <v>228</v>
      </c>
      <c r="AM110" s="564"/>
      <c r="AN110" s="564"/>
      <c r="AO110" s="564"/>
      <c r="AP110" s="564"/>
      <c r="AQ110" s="564"/>
      <c r="AR110" s="564"/>
      <c r="AS110" s="564"/>
      <c r="AT110" s="564"/>
      <c r="AU110" s="564"/>
      <c r="AV110" s="564"/>
      <c r="AW110" s="564"/>
      <c r="AX110" s="564"/>
      <c r="AY110" s="564"/>
      <c r="AZ110" s="274"/>
    </row>
    <row r="111" spans="1:53">
      <c r="A111" t="s">
        <v>1018</v>
      </c>
      <c r="D111" t="s">
        <v>792</v>
      </c>
      <c r="H111">
        <f>H110*N30*0.001</f>
        <v>0</v>
      </c>
      <c r="I111">
        <f>I110*N30*0.001</f>
        <v>29.895964330627645</v>
      </c>
      <c r="J111">
        <f>J110*N30*0.001</f>
        <v>59.791928661255291</v>
      </c>
      <c r="K111">
        <f>K110*N30*0.001</f>
        <v>59.791928661255291</v>
      </c>
      <c r="L111">
        <f>L110*N30*0.001</f>
        <v>44.246027209328915</v>
      </c>
      <c r="M111">
        <f>M110*N30*0.001</f>
        <v>0</v>
      </c>
      <c r="N111">
        <f>N110*N30*0.001</f>
        <v>0</v>
      </c>
      <c r="O111">
        <f>O110*N30*0.001</f>
        <v>0</v>
      </c>
      <c r="P111">
        <f>P110*N30*0.001</f>
        <v>0</v>
      </c>
      <c r="Q111">
        <f>Q110*N30*0.001</f>
        <v>0</v>
      </c>
      <c r="R111">
        <f>R110*N30*0.001</f>
        <v>0</v>
      </c>
      <c r="S111">
        <f>S110*N30*0.001</f>
        <v>0</v>
      </c>
      <c r="U111" s="16">
        <v>450620</v>
      </c>
      <c r="V111" t="s">
        <v>1018</v>
      </c>
      <c r="W111" t="s">
        <v>792</v>
      </c>
      <c r="Y111" t="s">
        <v>204</v>
      </c>
      <c r="Z111" t="str">
        <f>VLOOKUP(Y111,'Price Table 8 OHB'!A:B,2,FALSE)</f>
        <v>AOCS / GNC - Engineering and SW</v>
      </c>
      <c r="AC111" s="565">
        <f>AC110*$N$30*0.001</f>
        <v>0</v>
      </c>
      <c r="AD111">
        <f t="shared" ref="AD111:AZ111" si="45">AD110*$N$30*0.001</f>
        <v>0</v>
      </c>
      <c r="AE111">
        <f t="shared" si="45"/>
        <v>0</v>
      </c>
      <c r="AF111">
        <f t="shared" si="45"/>
        <v>26.308448610952329</v>
      </c>
      <c r="AG111">
        <f t="shared" si="45"/>
        <v>26.308448610952329</v>
      </c>
      <c r="AH111">
        <f t="shared" si="45"/>
        <v>26.308448610952329</v>
      </c>
      <c r="AI111">
        <f t="shared" si="45"/>
        <v>26.308448610952329</v>
      </c>
      <c r="AJ111">
        <f t="shared" si="45"/>
        <v>32.885560763690407</v>
      </c>
      <c r="AK111">
        <f t="shared" si="45"/>
        <v>32.885560763690407</v>
      </c>
      <c r="AL111">
        <f t="shared" si="45"/>
        <v>22.720932891277013</v>
      </c>
      <c r="AM111">
        <f t="shared" si="45"/>
        <v>0</v>
      </c>
      <c r="AN111">
        <f t="shared" si="45"/>
        <v>0</v>
      </c>
      <c r="AO111">
        <f t="shared" si="45"/>
        <v>0</v>
      </c>
      <c r="AP111">
        <f t="shared" si="45"/>
        <v>0</v>
      </c>
      <c r="AQ111">
        <f t="shared" si="45"/>
        <v>0</v>
      </c>
      <c r="AR111">
        <f t="shared" si="45"/>
        <v>0</v>
      </c>
      <c r="AS111">
        <f t="shared" si="45"/>
        <v>0</v>
      </c>
      <c r="AT111">
        <f t="shared" si="45"/>
        <v>0</v>
      </c>
      <c r="AU111">
        <f t="shared" si="45"/>
        <v>0</v>
      </c>
      <c r="AV111">
        <f t="shared" si="45"/>
        <v>0</v>
      </c>
      <c r="AW111">
        <f t="shared" si="45"/>
        <v>0</v>
      </c>
      <c r="AX111">
        <f t="shared" si="45"/>
        <v>0</v>
      </c>
      <c r="AY111">
        <f t="shared" si="45"/>
        <v>0</v>
      </c>
      <c r="AZ111" s="275">
        <f t="shared" si="45"/>
        <v>0</v>
      </c>
    </row>
    <row r="112" spans="1:53">
      <c r="D112" t="s">
        <v>793</v>
      </c>
      <c r="U112" s="16">
        <v>450620</v>
      </c>
      <c r="V112" t="s">
        <v>1018</v>
      </c>
      <c r="W112" t="s">
        <v>793</v>
      </c>
      <c r="Y112" t="s">
        <v>592</v>
      </c>
      <c r="Z112" t="str">
        <f>VLOOKUP(Y112,'Price Table 8 OHB'!A:B,2,FALSE)</f>
        <v>AOCS / GNC - HW procurements</v>
      </c>
      <c r="AC112" s="565"/>
      <c r="AZ112" s="275"/>
    </row>
    <row r="113" spans="1:53">
      <c r="D113" t="s">
        <v>966</v>
      </c>
      <c r="U113" s="16">
        <v>450620</v>
      </c>
      <c r="V113" t="s">
        <v>1018</v>
      </c>
      <c r="W113" t="s">
        <v>966</v>
      </c>
      <c r="Y113" t="s">
        <v>204</v>
      </c>
      <c r="Z113" t="str">
        <f>VLOOKUP(Y113,'Price Table 8 OHB'!A:B,2,FALSE)</f>
        <v>AOCS / GNC - Engineering and SW</v>
      </c>
      <c r="AC113" s="565"/>
      <c r="AZ113" s="275"/>
    </row>
    <row r="114" spans="1:53" ht="15.75" thickBot="1">
      <c r="D114" t="s">
        <v>794</v>
      </c>
      <c r="G114" s="570"/>
      <c r="H114">
        <f>H111+H112+H113</f>
        <v>0</v>
      </c>
      <c r="I114">
        <f>I111+I112+I113</f>
        <v>29.895964330627645</v>
      </c>
      <c r="J114">
        <f>J111+J112+J113</f>
        <v>59.791928661255291</v>
      </c>
      <c r="K114">
        <f>K111+K112+K113</f>
        <v>59.791928661255291</v>
      </c>
      <c r="L114">
        <f>L111+L112+L113</f>
        <v>44.246027209328915</v>
      </c>
      <c r="M114">
        <f t="shared" ref="M114:S114" si="46">M111+M112+M113</f>
        <v>0</v>
      </c>
      <c r="N114">
        <f t="shared" si="46"/>
        <v>0</v>
      </c>
      <c r="O114">
        <f t="shared" si="46"/>
        <v>0</v>
      </c>
      <c r="P114">
        <f t="shared" si="46"/>
        <v>0</v>
      </c>
      <c r="Q114">
        <f t="shared" si="46"/>
        <v>0</v>
      </c>
      <c r="R114">
        <f t="shared" si="46"/>
        <v>0</v>
      </c>
      <c r="S114">
        <f t="shared" si="46"/>
        <v>0</v>
      </c>
      <c r="T114">
        <f>SUM(H114:S114)</f>
        <v>193.72584886246716</v>
      </c>
      <c r="W114" t="s">
        <v>794</v>
      </c>
      <c r="AC114" s="567">
        <f>SUM(AC111:AC113)</f>
        <v>0</v>
      </c>
      <c r="AD114" s="265">
        <f t="shared" ref="AD114:AZ114" si="47">SUM(AD111:AD113)</f>
        <v>0</v>
      </c>
      <c r="AE114" s="265">
        <f t="shared" si="47"/>
        <v>0</v>
      </c>
      <c r="AF114" s="265">
        <f t="shared" si="47"/>
        <v>26.308448610952329</v>
      </c>
      <c r="AG114" s="265">
        <f t="shared" si="47"/>
        <v>26.308448610952329</v>
      </c>
      <c r="AH114" s="265">
        <f t="shared" si="47"/>
        <v>26.308448610952329</v>
      </c>
      <c r="AI114" s="265">
        <f t="shared" si="47"/>
        <v>26.308448610952329</v>
      </c>
      <c r="AJ114" s="265">
        <f t="shared" si="47"/>
        <v>32.885560763690407</v>
      </c>
      <c r="AK114" s="265">
        <f t="shared" si="47"/>
        <v>32.885560763690407</v>
      </c>
      <c r="AL114" s="265">
        <f t="shared" si="47"/>
        <v>22.720932891277013</v>
      </c>
      <c r="AM114" s="265">
        <f t="shared" si="47"/>
        <v>0</v>
      </c>
      <c r="AN114" s="265">
        <f t="shared" si="47"/>
        <v>0</v>
      </c>
      <c r="AO114" s="265">
        <f t="shared" si="47"/>
        <v>0</v>
      </c>
      <c r="AP114" s="265">
        <f t="shared" si="47"/>
        <v>0</v>
      </c>
      <c r="AQ114" s="265">
        <f t="shared" si="47"/>
        <v>0</v>
      </c>
      <c r="AR114" s="265">
        <f t="shared" si="47"/>
        <v>0</v>
      </c>
      <c r="AS114" s="265">
        <f t="shared" si="47"/>
        <v>0</v>
      </c>
      <c r="AT114" s="265">
        <f t="shared" si="47"/>
        <v>0</v>
      </c>
      <c r="AU114" s="265">
        <f t="shared" si="47"/>
        <v>0</v>
      </c>
      <c r="AV114" s="265">
        <f t="shared" si="47"/>
        <v>0</v>
      </c>
      <c r="AW114" s="265">
        <f t="shared" si="47"/>
        <v>0</v>
      </c>
      <c r="AX114" s="265">
        <f t="shared" si="47"/>
        <v>0</v>
      </c>
      <c r="AY114" s="265">
        <f t="shared" si="47"/>
        <v>0</v>
      </c>
      <c r="AZ114" s="276">
        <f t="shared" si="47"/>
        <v>0</v>
      </c>
      <c r="BA114" s="16">
        <f>SUM(AC114:AZ114)</f>
        <v>193.72584886246716</v>
      </c>
    </row>
    <row r="115" spans="1:53" ht="48.95" customHeight="1" thickBot="1">
      <c r="A115" s="90"/>
      <c r="B115" s="91"/>
      <c r="C115" s="90"/>
      <c r="D115" s="90"/>
      <c r="E115" s="90"/>
      <c r="F115" s="90"/>
      <c r="G115" s="90"/>
      <c r="H115" s="90"/>
      <c r="I115" s="90"/>
      <c r="J115" s="90"/>
      <c r="K115" s="90"/>
      <c r="L115" s="90"/>
      <c r="M115" s="90"/>
      <c r="N115" s="90"/>
      <c r="O115" s="90"/>
      <c r="P115" s="90"/>
      <c r="Q115" s="90"/>
      <c r="R115" s="90"/>
      <c r="S115" s="90"/>
      <c r="W115" s="94" t="s">
        <v>1019</v>
      </c>
      <c r="X115" s="579" t="s">
        <v>1020</v>
      </c>
      <c r="AI115" s="568"/>
      <c r="AJ115" s="568"/>
      <c r="AK115" s="568"/>
      <c r="AL115" s="568"/>
      <c r="AM115" s="568"/>
      <c r="AN115" s="568"/>
    </row>
    <row r="116" spans="1:53">
      <c r="A116" t="s">
        <v>1021</v>
      </c>
      <c r="D116" t="s">
        <v>791</v>
      </c>
      <c r="I116">
        <v>500</v>
      </c>
      <c r="J116">
        <v>600</v>
      </c>
      <c r="K116">
        <v>100</v>
      </c>
      <c r="L116">
        <v>0</v>
      </c>
      <c r="U116" s="16">
        <v>450630</v>
      </c>
      <c r="V116" t="s">
        <v>1022</v>
      </c>
      <c r="W116" t="s">
        <v>791</v>
      </c>
      <c r="AC116" s="563"/>
      <c r="AD116" s="564"/>
      <c r="AE116" s="564"/>
      <c r="AF116" s="564"/>
      <c r="AG116" s="564"/>
      <c r="AH116" s="564"/>
      <c r="AI116" s="564">
        <v>198</v>
      </c>
      <c r="AJ116" s="564">
        <v>198</v>
      </c>
      <c r="AK116" s="564">
        <v>198</v>
      </c>
      <c r="AL116" s="564">
        <v>198</v>
      </c>
      <c r="AM116" s="564">
        <v>204</v>
      </c>
      <c r="AN116" s="564">
        <v>204</v>
      </c>
      <c r="AO116" s="564"/>
      <c r="AP116" s="564"/>
      <c r="AQ116" s="564"/>
      <c r="AR116" s="564"/>
      <c r="AS116" s="564"/>
      <c r="AT116" s="564"/>
      <c r="AU116" s="564"/>
      <c r="AV116" s="564"/>
      <c r="AW116" s="564"/>
      <c r="AX116" s="564"/>
      <c r="AY116" s="564"/>
      <c r="AZ116" s="274"/>
    </row>
    <row r="117" spans="1:53">
      <c r="A117" t="s">
        <v>1022</v>
      </c>
      <c r="D117" t="s">
        <v>792</v>
      </c>
      <c r="H117">
        <f>H116*N30*0.001</f>
        <v>0</v>
      </c>
      <c r="I117">
        <f>I116*N30*0.001</f>
        <v>49.826607217712741</v>
      </c>
      <c r="J117">
        <f>J116*N30*0.001</f>
        <v>59.791928661255291</v>
      </c>
      <c r="K117">
        <f>K116*N30*0.001</f>
        <v>9.9653214435425497</v>
      </c>
      <c r="L117">
        <f>L116*N30*0.001</f>
        <v>0</v>
      </c>
      <c r="M117">
        <f>M116*N30*0.001</f>
        <v>0</v>
      </c>
      <c r="N117">
        <f>N116*N30*0.001</f>
        <v>0</v>
      </c>
      <c r="O117">
        <f>O116*N30*0.001</f>
        <v>0</v>
      </c>
      <c r="P117">
        <f>P116*N30*0.001</f>
        <v>0</v>
      </c>
      <c r="Q117">
        <f>Q116*N30*0.001</f>
        <v>0</v>
      </c>
      <c r="R117">
        <f>R116*N30*0.001</f>
        <v>0</v>
      </c>
      <c r="S117">
        <f>S116*N30*0.001</f>
        <v>0</v>
      </c>
      <c r="U117" s="16">
        <v>450630</v>
      </c>
      <c r="V117" t="s">
        <v>1022</v>
      </c>
      <c r="W117" t="s">
        <v>792</v>
      </c>
      <c r="Y117" t="s">
        <v>204</v>
      </c>
      <c r="Z117" t="str">
        <f>VLOOKUP(Y117,'Price Table 8 OHB'!A:B,2,FALSE)</f>
        <v>AOCS / GNC - Engineering and SW</v>
      </c>
      <c r="AC117" s="565">
        <f>AC116*$N$30*0.001</f>
        <v>0</v>
      </c>
      <c r="AD117">
        <f t="shared" ref="AD117:AZ117" si="48">AD116*$N$30*0.001</f>
        <v>0</v>
      </c>
      <c r="AE117">
        <f t="shared" si="48"/>
        <v>0</v>
      </c>
      <c r="AF117">
        <f t="shared" si="48"/>
        <v>0</v>
      </c>
      <c r="AG117">
        <f t="shared" si="48"/>
        <v>0</v>
      </c>
      <c r="AH117">
        <f t="shared" si="48"/>
        <v>0</v>
      </c>
      <c r="AI117">
        <f t="shared" si="48"/>
        <v>19.731336458214248</v>
      </c>
      <c r="AJ117">
        <f t="shared" si="48"/>
        <v>19.731336458214248</v>
      </c>
      <c r="AK117">
        <f t="shared" si="48"/>
        <v>19.731336458214248</v>
      </c>
      <c r="AL117">
        <f t="shared" si="48"/>
        <v>19.731336458214248</v>
      </c>
      <c r="AM117">
        <f t="shared" si="48"/>
        <v>20.329255744826799</v>
      </c>
      <c r="AN117">
        <f t="shared" si="48"/>
        <v>20.329255744826799</v>
      </c>
      <c r="AO117">
        <f t="shared" si="48"/>
        <v>0</v>
      </c>
      <c r="AP117">
        <f t="shared" si="48"/>
        <v>0</v>
      </c>
      <c r="AQ117">
        <f t="shared" si="48"/>
        <v>0</v>
      </c>
      <c r="AR117">
        <f t="shared" si="48"/>
        <v>0</v>
      </c>
      <c r="AS117">
        <f t="shared" si="48"/>
        <v>0</v>
      </c>
      <c r="AT117">
        <f t="shared" si="48"/>
        <v>0</v>
      </c>
      <c r="AU117">
        <f t="shared" si="48"/>
        <v>0</v>
      </c>
      <c r="AV117">
        <f t="shared" si="48"/>
        <v>0</v>
      </c>
      <c r="AW117">
        <f t="shared" si="48"/>
        <v>0</v>
      </c>
      <c r="AX117">
        <f t="shared" si="48"/>
        <v>0</v>
      </c>
      <c r="AY117">
        <f t="shared" si="48"/>
        <v>0</v>
      </c>
      <c r="AZ117" s="275">
        <f t="shared" si="48"/>
        <v>0</v>
      </c>
    </row>
    <row r="118" spans="1:53">
      <c r="D118" t="s">
        <v>793</v>
      </c>
      <c r="U118" s="16">
        <v>450630</v>
      </c>
      <c r="V118" t="s">
        <v>1022</v>
      </c>
      <c r="W118" t="s">
        <v>793</v>
      </c>
      <c r="Y118" t="s">
        <v>592</v>
      </c>
      <c r="Z118" t="str">
        <f>VLOOKUP(Y118,'Price Table 8 OHB'!A:B,2,FALSE)</f>
        <v>AOCS / GNC - HW procurements</v>
      </c>
      <c r="AC118" s="565"/>
      <c r="AZ118" s="275"/>
    </row>
    <row r="119" spans="1:53">
      <c r="D119" t="s">
        <v>966</v>
      </c>
      <c r="U119" s="16">
        <v>450630</v>
      </c>
      <c r="V119" t="s">
        <v>1022</v>
      </c>
      <c r="W119" t="s">
        <v>966</v>
      </c>
      <c r="Y119" t="s">
        <v>204</v>
      </c>
      <c r="Z119" t="str">
        <f>VLOOKUP(Y119,'Price Table 8 OHB'!A:B,2,FALSE)</f>
        <v>AOCS / GNC - Engineering and SW</v>
      </c>
      <c r="AC119" s="565"/>
      <c r="AZ119" s="275"/>
    </row>
    <row r="120" spans="1:53" ht="15.75" thickBot="1">
      <c r="D120" t="s">
        <v>794</v>
      </c>
      <c r="G120" s="570"/>
      <c r="H120">
        <f t="shared" ref="H120:S120" si="49">H117+H118+H119</f>
        <v>0</v>
      </c>
      <c r="I120">
        <f t="shared" si="49"/>
        <v>49.826607217712741</v>
      </c>
      <c r="J120">
        <f>J117+J118+J119</f>
        <v>59.791928661255291</v>
      </c>
      <c r="K120">
        <f t="shared" si="49"/>
        <v>9.9653214435425497</v>
      </c>
      <c r="L120">
        <f t="shared" si="49"/>
        <v>0</v>
      </c>
      <c r="M120">
        <f t="shared" si="49"/>
        <v>0</v>
      </c>
      <c r="N120">
        <f t="shared" si="49"/>
        <v>0</v>
      </c>
      <c r="O120">
        <f t="shared" si="49"/>
        <v>0</v>
      </c>
      <c r="P120">
        <f t="shared" si="49"/>
        <v>0</v>
      </c>
      <c r="Q120">
        <f t="shared" si="49"/>
        <v>0</v>
      </c>
      <c r="R120">
        <f t="shared" si="49"/>
        <v>0</v>
      </c>
      <c r="S120">
        <f t="shared" si="49"/>
        <v>0</v>
      </c>
      <c r="T120">
        <f>SUM(H120:S120)</f>
        <v>119.58385732251058</v>
      </c>
      <c r="U120" s="16"/>
      <c r="W120" t="s">
        <v>794</v>
      </c>
      <c r="AC120" s="567">
        <f>SUM(AC117:AC119)</f>
        <v>0</v>
      </c>
      <c r="AD120" s="265">
        <f t="shared" ref="AD120:AZ120" si="50">SUM(AD117:AD119)</f>
        <v>0</v>
      </c>
      <c r="AE120" s="265">
        <f t="shared" si="50"/>
        <v>0</v>
      </c>
      <c r="AF120" s="265">
        <f t="shared" si="50"/>
        <v>0</v>
      </c>
      <c r="AG120" s="265">
        <f t="shared" si="50"/>
        <v>0</v>
      </c>
      <c r="AH120" s="265">
        <f t="shared" si="50"/>
        <v>0</v>
      </c>
      <c r="AI120" s="265">
        <f t="shared" si="50"/>
        <v>19.731336458214248</v>
      </c>
      <c r="AJ120" s="265">
        <f t="shared" si="50"/>
        <v>19.731336458214248</v>
      </c>
      <c r="AK120" s="265">
        <f t="shared" si="50"/>
        <v>19.731336458214248</v>
      </c>
      <c r="AL120" s="265">
        <f t="shared" si="50"/>
        <v>19.731336458214248</v>
      </c>
      <c r="AM120" s="265">
        <f t="shared" si="50"/>
        <v>20.329255744826799</v>
      </c>
      <c r="AN120" s="265">
        <f t="shared" si="50"/>
        <v>20.329255744826799</v>
      </c>
      <c r="AO120" s="265">
        <f t="shared" si="50"/>
        <v>0</v>
      </c>
      <c r="AP120" s="265">
        <f t="shared" si="50"/>
        <v>0</v>
      </c>
      <c r="AQ120" s="265">
        <f t="shared" si="50"/>
        <v>0</v>
      </c>
      <c r="AR120" s="265">
        <f t="shared" si="50"/>
        <v>0</v>
      </c>
      <c r="AS120" s="265">
        <f t="shared" si="50"/>
        <v>0</v>
      </c>
      <c r="AT120" s="265">
        <f t="shared" si="50"/>
        <v>0</v>
      </c>
      <c r="AU120" s="265">
        <f t="shared" si="50"/>
        <v>0</v>
      </c>
      <c r="AV120" s="265">
        <f t="shared" si="50"/>
        <v>0</v>
      </c>
      <c r="AW120" s="265">
        <f t="shared" si="50"/>
        <v>0</v>
      </c>
      <c r="AX120" s="265">
        <f t="shared" si="50"/>
        <v>0</v>
      </c>
      <c r="AY120" s="265">
        <f t="shared" si="50"/>
        <v>0</v>
      </c>
      <c r="AZ120" s="276">
        <f t="shared" si="50"/>
        <v>0</v>
      </c>
      <c r="BA120" s="16">
        <f>SUM(AC120:AZ120)</f>
        <v>119.58385732251058</v>
      </c>
    </row>
    <row r="121" spans="1:53" ht="33" customHeight="1" thickBot="1">
      <c r="A121" s="90"/>
      <c r="B121" s="91"/>
      <c r="C121" s="90"/>
      <c r="D121" s="90"/>
      <c r="E121" s="90"/>
      <c r="F121" s="90"/>
      <c r="G121" s="90"/>
      <c r="H121" s="90"/>
      <c r="I121" s="90"/>
      <c r="J121" s="90"/>
      <c r="K121" s="90"/>
      <c r="L121" s="90"/>
      <c r="M121" s="90"/>
      <c r="N121" s="90"/>
      <c r="O121" s="90"/>
      <c r="P121" s="90"/>
      <c r="Q121" s="90"/>
      <c r="R121" s="90"/>
      <c r="S121" s="90"/>
      <c r="W121" s="94" t="s">
        <v>1023</v>
      </c>
      <c r="X121" s="579" t="s">
        <v>1024</v>
      </c>
      <c r="AF121" s="568"/>
      <c r="AG121" s="568"/>
      <c r="AH121" s="568"/>
      <c r="AI121" s="568"/>
      <c r="AJ121" s="568"/>
      <c r="AK121" s="568"/>
      <c r="AL121" s="568"/>
      <c r="AM121" s="568"/>
    </row>
    <row r="122" spans="1:53">
      <c r="A122" t="s">
        <v>1025</v>
      </c>
      <c r="D122" t="s">
        <v>791</v>
      </c>
      <c r="I122">
        <v>1238</v>
      </c>
      <c r="J122">
        <v>1236</v>
      </c>
      <c r="K122">
        <v>1238</v>
      </c>
      <c r="U122" s="16">
        <v>450700</v>
      </c>
      <c r="V122" t="s">
        <v>1026</v>
      </c>
      <c r="W122" t="s">
        <v>791</v>
      </c>
      <c r="AC122" s="563"/>
      <c r="AD122" s="564"/>
      <c r="AE122" s="564"/>
      <c r="AF122" s="564">
        <v>163</v>
      </c>
      <c r="AG122" s="564">
        <v>507</v>
      </c>
      <c r="AH122" s="564">
        <v>507</v>
      </c>
      <c r="AI122" s="564">
        <v>507</v>
      </c>
      <c r="AJ122" s="564">
        <v>507</v>
      </c>
      <c r="AK122" s="564">
        <v>507</v>
      </c>
      <c r="AL122" s="564">
        <v>507</v>
      </c>
      <c r="AM122" s="564">
        <v>507</v>
      </c>
      <c r="AN122" s="564"/>
      <c r="AO122" s="564"/>
      <c r="AP122" s="564"/>
      <c r="AQ122" s="564"/>
      <c r="AR122" s="564"/>
      <c r="AS122" s="564"/>
      <c r="AT122" s="564"/>
      <c r="AU122" s="564"/>
      <c r="AV122" s="564"/>
      <c r="AW122" s="564"/>
      <c r="AX122" s="564"/>
      <c r="AY122" s="564"/>
      <c r="AZ122" s="274"/>
    </row>
    <row r="123" spans="1:53">
      <c r="A123" t="s">
        <v>1026</v>
      </c>
      <c r="D123" t="s">
        <v>792</v>
      </c>
      <c r="H123">
        <f>H122*N30*0.001</f>
        <v>0</v>
      </c>
      <c r="I123">
        <f>I122*N30*0.001</f>
        <v>123.37067947105675</v>
      </c>
      <c r="J123">
        <f>J122*N30*0.001</f>
        <v>123.17137304218589</v>
      </c>
      <c r="K123">
        <f>K122*N30*0.001</f>
        <v>123.37067947105675</v>
      </c>
      <c r="L123">
        <f>L122*N30*0.001</f>
        <v>0</v>
      </c>
      <c r="M123">
        <f>M122*N30*0.001</f>
        <v>0</v>
      </c>
      <c r="N123">
        <f>N122*N30*0.001</f>
        <v>0</v>
      </c>
      <c r="O123">
        <f>O122*N30*0.001</f>
        <v>0</v>
      </c>
      <c r="P123">
        <f>P122*N30*0.001</f>
        <v>0</v>
      </c>
      <c r="Q123">
        <f>Q122*N30*0.001</f>
        <v>0</v>
      </c>
      <c r="R123">
        <f>R122*N30*0.001</f>
        <v>0</v>
      </c>
      <c r="S123">
        <f>S122*N30*0.001</f>
        <v>0</v>
      </c>
      <c r="U123" s="16">
        <v>450700</v>
      </c>
      <c r="V123" t="s">
        <v>1026</v>
      </c>
      <c r="W123" t="s">
        <v>792</v>
      </c>
      <c r="Y123" t="s">
        <v>204</v>
      </c>
      <c r="Z123" t="str">
        <f>VLOOKUP(Y123,'Price Table 8 OHB'!A:B,2,FALSE)</f>
        <v>AOCS / GNC - Engineering and SW</v>
      </c>
      <c r="AC123" s="565">
        <f>AC122*$N$30*0.001</f>
        <v>0</v>
      </c>
      <c r="AD123">
        <f t="shared" ref="AD123:AZ123" si="51">AD122*$N$30*0.001</f>
        <v>0</v>
      </c>
      <c r="AE123">
        <f t="shared" si="51"/>
        <v>0</v>
      </c>
      <c r="AF123">
        <f t="shared" si="51"/>
        <v>16.243473952974352</v>
      </c>
      <c r="AG123">
        <f t="shared" si="51"/>
        <v>50.52417971876072</v>
      </c>
      <c r="AH123">
        <f t="shared" si="51"/>
        <v>50.52417971876072</v>
      </c>
      <c r="AI123">
        <f t="shared" si="51"/>
        <v>50.52417971876072</v>
      </c>
      <c r="AJ123">
        <f t="shared" si="51"/>
        <v>50.52417971876072</v>
      </c>
      <c r="AK123">
        <f t="shared" si="51"/>
        <v>50.52417971876072</v>
      </c>
      <c r="AL123">
        <f t="shared" si="51"/>
        <v>50.52417971876072</v>
      </c>
      <c r="AM123">
        <f t="shared" si="51"/>
        <v>50.52417971876072</v>
      </c>
      <c r="AN123">
        <f t="shared" si="51"/>
        <v>0</v>
      </c>
      <c r="AO123">
        <f t="shared" si="51"/>
        <v>0</v>
      </c>
      <c r="AP123">
        <f t="shared" si="51"/>
        <v>0</v>
      </c>
      <c r="AQ123">
        <f t="shared" si="51"/>
        <v>0</v>
      </c>
      <c r="AR123">
        <f t="shared" si="51"/>
        <v>0</v>
      </c>
      <c r="AS123">
        <f t="shared" si="51"/>
        <v>0</v>
      </c>
      <c r="AT123">
        <f t="shared" si="51"/>
        <v>0</v>
      </c>
      <c r="AU123">
        <f t="shared" si="51"/>
        <v>0</v>
      </c>
      <c r="AV123">
        <f t="shared" si="51"/>
        <v>0</v>
      </c>
      <c r="AW123">
        <f t="shared" si="51"/>
        <v>0</v>
      </c>
      <c r="AX123">
        <f t="shared" si="51"/>
        <v>0</v>
      </c>
      <c r="AY123">
        <f t="shared" si="51"/>
        <v>0</v>
      </c>
      <c r="AZ123" s="275">
        <f t="shared" si="51"/>
        <v>0</v>
      </c>
    </row>
    <row r="124" spans="1:53">
      <c r="D124" t="s">
        <v>793</v>
      </c>
      <c r="I124">
        <f>I429+I437+I445+I451+I456+I463+I470+I476</f>
        <v>290.125</v>
      </c>
      <c r="J124">
        <f>J429+J437+J445+J451+J456+J463+J470+J476</f>
        <v>1022.75</v>
      </c>
      <c r="K124">
        <f>K429+K437+K445+K451+K456+K463+K470+K476</f>
        <v>991.625</v>
      </c>
      <c r="U124" s="16">
        <v>450700</v>
      </c>
      <c r="V124" t="s">
        <v>1026</v>
      </c>
      <c r="W124" t="s">
        <v>793</v>
      </c>
      <c r="Y124" t="s">
        <v>592</v>
      </c>
      <c r="Z124" t="str">
        <f>VLOOKUP(Y124,'Price Table 8 OHB'!A:B,2,FALSE)</f>
        <v>AOCS / GNC - HW procurements</v>
      </c>
      <c r="AC124" s="565"/>
      <c r="AG124">
        <f>I124/2</f>
        <v>145.0625</v>
      </c>
      <c r="AH124">
        <f>I124/2</f>
        <v>145.0625</v>
      </c>
      <c r="AI124">
        <f>J124/2</f>
        <v>511.375</v>
      </c>
      <c r="AJ124">
        <f>J124/2</f>
        <v>511.375</v>
      </c>
      <c r="AK124">
        <f>K124/2</f>
        <v>495.8125</v>
      </c>
      <c r="AL124">
        <f>K124/2</f>
        <v>495.8125</v>
      </c>
      <c r="AZ124" s="275"/>
    </row>
    <row r="125" spans="1:53">
      <c r="D125" t="s">
        <v>966</v>
      </c>
      <c r="I125">
        <v>10</v>
      </c>
      <c r="J125">
        <v>10</v>
      </c>
      <c r="K125">
        <v>10</v>
      </c>
      <c r="U125" s="16">
        <v>450700</v>
      </c>
      <c r="V125" t="s">
        <v>1026</v>
      </c>
      <c r="W125" t="s">
        <v>966</v>
      </c>
      <c r="Y125" t="s">
        <v>204</v>
      </c>
      <c r="Z125" t="str">
        <f>VLOOKUP(Y125,'Price Table 8 OHB'!A:B,2,FALSE)</f>
        <v>AOCS / GNC - Engineering and SW</v>
      </c>
      <c r="AC125" s="565"/>
      <c r="AG125">
        <f>I125/2</f>
        <v>5</v>
      </c>
      <c r="AH125">
        <f>I125/2</f>
        <v>5</v>
      </c>
      <c r="AI125">
        <f>J125/2</f>
        <v>5</v>
      </c>
      <c r="AJ125">
        <f>J125/2</f>
        <v>5</v>
      </c>
      <c r="AK125">
        <f>K125/2</f>
        <v>5</v>
      </c>
      <c r="AL125">
        <f>K125/2</f>
        <v>5</v>
      </c>
      <c r="AZ125" s="275"/>
    </row>
    <row r="126" spans="1:53" ht="15.75" thickBot="1">
      <c r="D126" t="s">
        <v>794</v>
      </c>
      <c r="G126" s="570"/>
      <c r="H126">
        <f t="shared" ref="H126:S126" si="52">H123+H124+H125</f>
        <v>0</v>
      </c>
      <c r="I126">
        <f t="shared" si="52"/>
        <v>423.49567947105675</v>
      </c>
      <c r="J126">
        <f>J123+J124+J125</f>
        <v>1155.9213730421859</v>
      </c>
      <c r="K126">
        <f t="shared" si="52"/>
        <v>1124.9956794710567</v>
      </c>
      <c r="L126">
        <f t="shared" si="52"/>
        <v>0</v>
      </c>
      <c r="M126">
        <f t="shared" si="52"/>
        <v>0</v>
      </c>
      <c r="N126">
        <f t="shared" si="52"/>
        <v>0</v>
      </c>
      <c r="O126">
        <f t="shared" si="52"/>
        <v>0</v>
      </c>
      <c r="P126">
        <f t="shared" si="52"/>
        <v>0</v>
      </c>
      <c r="Q126">
        <f t="shared" si="52"/>
        <v>0</v>
      </c>
      <c r="R126">
        <f t="shared" si="52"/>
        <v>0</v>
      </c>
      <c r="S126">
        <f t="shared" si="52"/>
        <v>0</v>
      </c>
      <c r="T126">
        <f>SUM(H126:S126)</f>
        <v>2704.4127319842992</v>
      </c>
      <c r="U126" s="16"/>
      <c r="W126" t="s">
        <v>794</v>
      </c>
      <c r="AC126" s="567">
        <f>SUM(AC123:AC125)</f>
        <v>0</v>
      </c>
      <c r="AD126" s="265">
        <f t="shared" ref="AD126:AZ126" si="53">SUM(AD123:AD125)</f>
        <v>0</v>
      </c>
      <c r="AE126" s="265">
        <f t="shared" si="53"/>
        <v>0</v>
      </c>
      <c r="AF126" s="265">
        <f t="shared" si="53"/>
        <v>16.243473952974352</v>
      </c>
      <c r="AG126" s="265">
        <f t="shared" si="53"/>
        <v>200.58667971876071</v>
      </c>
      <c r="AH126" s="265">
        <f t="shared" si="53"/>
        <v>200.58667971876071</v>
      </c>
      <c r="AI126" s="265">
        <f t="shared" si="53"/>
        <v>566.89917971876071</v>
      </c>
      <c r="AJ126" s="265">
        <f t="shared" si="53"/>
        <v>566.89917971876071</v>
      </c>
      <c r="AK126" s="265">
        <f t="shared" si="53"/>
        <v>551.33667971876071</v>
      </c>
      <c r="AL126" s="265">
        <f t="shared" si="53"/>
        <v>551.33667971876071</v>
      </c>
      <c r="AM126" s="265">
        <f t="shared" si="53"/>
        <v>50.52417971876072</v>
      </c>
      <c r="AN126" s="265">
        <f t="shared" si="53"/>
        <v>0</v>
      </c>
      <c r="AO126" s="265">
        <f t="shared" si="53"/>
        <v>0</v>
      </c>
      <c r="AP126" s="265">
        <f t="shared" si="53"/>
        <v>0</v>
      </c>
      <c r="AQ126" s="265">
        <f t="shared" si="53"/>
        <v>0</v>
      </c>
      <c r="AR126" s="265">
        <f t="shared" si="53"/>
        <v>0</v>
      </c>
      <c r="AS126" s="265">
        <f t="shared" si="53"/>
        <v>0</v>
      </c>
      <c r="AT126" s="265">
        <f t="shared" si="53"/>
        <v>0</v>
      </c>
      <c r="AU126" s="265">
        <f t="shared" si="53"/>
        <v>0</v>
      </c>
      <c r="AV126" s="265">
        <f t="shared" si="53"/>
        <v>0</v>
      </c>
      <c r="AW126" s="265">
        <f t="shared" si="53"/>
        <v>0</v>
      </c>
      <c r="AX126" s="265">
        <f t="shared" si="53"/>
        <v>0</v>
      </c>
      <c r="AY126" s="265">
        <f t="shared" si="53"/>
        <v>0</v>
      </c>
      <c r="AZ126" s="276">
        <f t="shared" si="53"/>
        <v>0</v>
      </c>
      <c r="BA126" s="16">
        <f>SUM(AC126:AZ126)</f>
        <v>2704.4127319843001</v>
      </c>
    </row>
    <row r="127" spans="1:53" ht="33" customHeight="1" thickBot="1">
      <c r="A127" s="90"/>
      <c r="B127" s="91"/>
      <c r="C127" s="90"/>
      <c r="D127" s="90"/>
      <c r="E127" s="90"/>
      <c r="F127" s="90"/>
      <c r="G127" s="90"/>
      <c r="H127" s="90"/>
      <c r="I127" s="90"/>
      <c r="J127" s="90"/>
      <c r="K127" s="90"/>
      <c r="L127" s="90"/>
      <c r="M127" s="90"/>
      <c r="N127" s="90"/>
      <c r="O127" s="90"/>
      <c r="P127" s="90"/>
      <c r="Q127" s="90"/>
      <c r="R127" s="90"/>
      <c r="S127" s="90"/>
      <c r="W127" s="94" t="s">
        <v>1027</v>
      </c>
      <c r="X127" s="579" t="s">
        <v>1028</v>
      </c>
      <c r="AG127" s="568"/>
      <c r="AH127" s="568"/>
      <c r="AI127" s="568"/>
      <c r="AJ127" s="568"/>
      <c r="AK127" s="568"/>
      <c r="AL127" s="568"/>
    </row>
    <row r="128" spans="1:53">
      <c r="A128" t="s">
        <v>1029</v>
      </c>
      <c r="D128" t="s">
        <v>791</v>
      </c>
      <c r="J128">
        <v>500</v>
      </c>
      <c r="K128">
        <v>1200</v>
      </c>
      <c r="L128">
        <v>310</v>
      </c>
      <c r="U128" s="16">
        <v>450800</v>
      </c>
      <c r="V128" t="s">
        <v>1030</v>
      </c>
      <c r="W128" t="s">
        <v>791</v>
      </c>
      <c r="AC128" s="563"/>
      <c r="AD128" s="564"/>
      <c r="AE128" s="564"/>
      <c r="AF128" s="564"/>
      <c r="AG128" s="564">
        <v>150</v>
      </c>
      <c r="AH128" s="564">
        <v>540</v>
      </c>
      <c r="AI128" s="564">
        <v>375</v>
      </c>
      <c r="AJ128" s="564">
        <v>315</v>
      </c>
      <c r="AK128" s="564">
        <v>315</v>
      </c>
      <c r="AL128" s="564">
        <v>315</v>
      </c>
      <c r="AM128" s="564"/>
      <c r="AN128" s="564"/>
      <c r="AO128" s="564"/>
      <c r="AP128" s="564"/>
      <c r="AQ128" s="564"/>
      <c r="AR128" s="564"/>
      <c r="AS128" s="564"/>
      <c r="AT128" s="564"/>
      <c r="AU128" s="564"/>
      <c r="AV128" s="564"/>
      <c r="AW128" s="564"/>
      <c r="AX128" s="564"/>
      <c r="AY128" s="564"/>
      <c r="AZ128" s="274"/>
    </row>
    <row r="129" spans="1:53">
      <c r="A129" t="s">
        <v>1030</v>
      </c>
      <c r="D129" t="s">
        <v>792</v>
      </c>
      <c r="H129">
        <f>H128*N30*0.001</f>
        <v>0</v>
      </c>
      <c r="I129">
        <f>I128*N30*0.001</f>
        <v>0</v>
      </c>
      <c r="J129">
        <f>J128*N30*0.001</f>
        <v>49.826607217712741</v>
      </c>
      <c r="K129">
        <f>K128*N30*0.001</f>
        <v>119.58385732251058</v>
      </c>
      <c r="L129">
        <f>L128*N30*0.001</f>
        <v>30.8924964749819</v>
      </c>
      <c r="M129">
        <f>M128*N30*0.001</f>
        <v>0</v>
      </c>
      <c r="N129">
        <f>N128*N30*0.001</f>
        <v>0</v>
      </c>
      <c r="O129">
        <f>O128*N30*0.001</f>
        <v>0</v>
      </c>
      <c r="P129">
        <f>P128*N30*0.001</f>
        <v>0</v>
      </c>
      <c r="Q129">
        <f>Q128*N30*0.001</f>
        <v>0</v>
      </c>
      <c r="R129">
        <f>R128*N30*0.001</f>
        <v>0</v>
      </c>
      <c r="S129">
        <f>S128*N30*0.001</f>
        <v>0</v>
      </c>
      <c r="U129" s="16">
        <v>450800</v>
      </c>
      <c r="V129" t="s">
        <v>1030</v>
      </c>
      <c r="W129" t="s">
        <v>792</v>
      </c>
      <c r="Y129" t="s">
        <v>204</v>
      </c>
      <c r="Z129" t="str">
        <f>VLOOKUP(Y129,'Price Table 8 OHB'!A:B,2,FALSE)</f>
        <v>AOCS / GNC - Engineering and SW</v>
      </c>
      <c r="AC129" s="565">
        <f>AC128*$N$30*0.001</f>
        <v>0</v>
      </c>
      <c r="AD129">
        <f t="shared" ref="AD129:AZ129" si="54">AD128*$N$30*0.001</f>
        <v>0</v>
      </c>
      <c r="AE129">
        <f t="shared" si="54"/>
        <v>0</v>
      </c>
      <c r="AF129">
        <f t="shared" si="54"/>
        <v>0</v>
      </c>
      <c r="AG129">
        <f t="shared" si="54"/>
        <v>14.947982165313823</v>
      </c>
      <c r="AH129">
        <f t="shared" si="54"/>
        <v>53.812735795129761</v>
      </c>
      <c r="AI129">
        <f t="shared" si="54"/>
        <v>37.369955413284558</v>
      </c>
      <c r="AJ129">
        <f t="shared" si="54"/>
        <v>31.390762547159024</v>
      </c>
      <c r="AK129">
        <f t="shared" si="54"/>
        <v>31.390762547159024</v>
      </c>
      <c r="AL129">
        <f t="shared" si="54"/>
        <v>31.390762547159024</v>
      </c>
      <c r="AM129">
        <f t="shared" si="54"/>
        <v>0</v>
      </c>
      <c r="AN129">
        <f t="shared" si="54"/>
        <v>0</v>
      </c>
      <c r="AO129">
        <f t="shared" si="54"/>
        <v>0</v>
      </c>
      <c r="AP129">
        <f t="shared" si="54"/>
        <v>0</v>
      </c>
      <c r="AQ129">
        <f t="shared" si="54"/>
        <v>0</v>
      </c>
      <c r="AR129">
        <f t="shared" si="54"/>
        <v>0</v>
      </c>
      <c r="AS129">
        <f t="shared" si="54"/>
        <v>0</v>
      </c>
      <c r="AT129">
        <f t="shared" si="54"/>
        <v>0</v>
      </c>
      <c r="AU129">
        <f t="shared" si="54"/>
        <v>0</v>
      </c>
      <c r="AV129">
        <f t="shared" si="54"/>
        <v>0</v>
      </c>
      <c r="AW129">
        <f t="shared" si="54"/>
        <v>0</v>
      </c>
      <c r="AX129">
        <f t="shared" si="54"/>
        <v>0</v>
      </c>
      <c r="AY129">
        <f t="shared" si="54"/>
        <v>0</v>
      </c>
      <c r="AZ129" s="275">
        <f t="shared" si="54"/>
        <v>0</v>
      </c>
    </row>
    <row r="130" spans="1:53">
      <c r="D130" t="s">
        <v>793</v>
      </c>
      <c r="U130" s="16">
        <v>450800</v>
      </c>
      <c r="V130" t="s">
        <v>1030</v>
      </c>
      <c r="W130" t="s">
        <v>793</v>
      </c>
      <c r="Y130" t="s">
        <v>592</v>
      </c>
      <c r="Z130" t="str">
        <f>VLOOKUP(Y130,'Price Table 8 OHB'!A:B,2,FALSE)</f>
        <v>AOCS / GNC - HW procurements</v>
      </c>
      <c r="AC130" s="565"/>
      <c r="AZ130" s="275"/>
    </row>
    <row r="131" spans="1:53">
      <c r="D131" t="s">
        <v>966</v>
      </c>
      <c r="U131" s="16">
        <v>450800</v>
      </c>
      <c r="V131" t="s">
        <v>1030</v>
      </c>
      <c r="W131" t="s">
        <v>966</v>
      </c>
      <c r="Y131" t="s">
        <v>204</v>
      </c>
      <c r="Z131" t="str">
        <f>VLOOKUP(Y131,'Price Table 8 OHB'!A:B,2,FALSE)</f>
        <v>AOCS / GNC - Engineering and SW</v>
      </c>
      <c r="AC131" s="565"/>
      <c r="AZ131" s="275"/>
    </row>
    <row r="132" spans="1:53" ht="15.75" thickBot="1">
      <c r="D132" t="s">
        <v>794</v>
      </c>
      <c r="G132" s="570"/>
      <c r="H132">
        <f t="shared" ref="H132:S132" si="55">H129+H130+H131</f>
        <v>0</v>
      </c>
      <c r="I132">
        <f t="shared" si="55"/>
        <v>0</v>
      </c>
      <c r="J132">
        <f>J129+J130+J131</f>
        <v>49.826607217712741</v>
      </c>
      <c r="K132">
        <f t="shared" si="55"/>
        <v>119.58385732251058</v>
      </c>
      <c r="L132">
        <f t="shared" si="55"/>
        <v>30.8924964749819</v>
      </c>
      <c r="M132">
        <f t="shared" si="55"/>
        <v>0</v>
      </c>
      <c r="N132">
        <f t="shared" si="55"/>
        <v>0</v>
      </c>
      <c r="O132">
        <f t="shared" si="55"/>
        <v>0</v>
      </c>
      <c r="P132">
        <f t="shared" si="55"/>
        <v>0</v>
      </c>
      <c r="Q132">
        <f t="shared" si="55"/>
        <v>0</v>
      </c>
      <c r="R132">
        <f t="shared" si="55"/>
        <v>0</v>
      </c>
      <c r="S132">
        <f t="shared" si="55"/>
        <v>0</v>
      </c>
      <c r="T132">
        <f>SUM(H132:S132)</f>
        <v>200.30296101520523</v>
      </c>
      <c r="U132" s="16"/>
      <c r="W132" t="s">
        <v>794</v>
      </c>
      <c r="AC132" s="567">
        <f>SUM(AC129:AC131)</f>
        <v>0</v>
      </c>
      <c r="AD132" s="265">
        <f t="shared" ref="AD132:AZ132" si="56">SUM(AD129:AD131)</f>
        <v>0</v>
      </c>
      <c r="AE132" s="265">
        <f t="shared" si="56"/>
        <v>0</v>
      </c>
      <c r="AF132" s="265">
        <f t="shared" si="56"/>
        <v>0</v>
      </c>
      <c r="AG132" s="265">
        <f t="shared" si="56"/>
        <v>14.947982165313823</v>
      </c>
      <c r="AH132" s="265">
        <f t="shared" si="56"/>
        <v>53.812735795129761</v>
      </c>
      <c r="AI132" s="265">
        <f t="shared" si="56"/>
        <v>37.369955413284558</v>
      </c>
      <c r="AJ132" s="265">
        <f t="shared" si="56"/>
        <v>31.390762547159024</v>
      </c>
      <c r="AK132" s="265">
        <f t="shared" si="56"/>
        <v>31.390762547159024</v>
      </c>
      <c r="AL132" s="265">
        <f t="shared" si="56"/>
        <v>31.390762547159024</v>
      </c>
      <c r="AM132" s="265">
        <f t="shared" si="56"/>
        <v>0</v>
      </c>
      <c r="AN132" s="265">
        <f t="shared" si="56"/>
        <v>0</v>
      </c>
      <c r="AO132" s="265">
        <f t="shared" si="56"/>
        <v>0</v>
      </c>
      <c r="AP132" s="265">
        <f t="shared" si="56"/>
        <v>0</v>
      </c>
      <c r="AQ132" s="265">
        <f t="shared" si="56"/>
        <v>0</v>
      </c>
      <c r="AR132" s="265">
        <f t="shared" si="56"/>
        <v>0</v>
      </c>
      <c r="AS132" s="265">
        <f t="shared" si="56"/>
        <v>0</v>
      </c>
      <c r="AT132" s="265">
        <f t="shared" si="56"/>
        <v>0</v>
      </c>
      <c r="AU132" s="265">
        <f t="shared" si="56"/>
        <v>0</v>
      </c>
      <c r="AV132" s="265">
        <f t="shared" si="56"/>
        <v>0</v>
      </c>
      <c r="AW132" s="265">
        <f t="shared" si="56"/>
        <v>0</v>
      </c>
      <c r="AX132" s="265">
        <f t="shared" si="56"/>
        <v>0</v>
      </c>
      <c r="AY132" s="265">
        <f t="shared" si="56"/>
        <v>0</v>
      </c>
      <c r="AZ132" s="276">
        <f t="shared" si="56"/>
        <v>0</v>
      </c>
      <c r="BA132" s="16">
        <f>SUM(AC132:AZ132)</f>
        <v>200.30296101520523</v>
      </c>
    </row>
    <row r="133" spans="1:53" ht="48.95" customHeight="1" thickBot="1">
      <c r="A133" s="90"/>
      <c r="B133" s="91"/>
      <c r="C133" s="90"/>
      <c r="D133" s="90"/>
      <c r="E133" s="90"/>
      <c r="F133" s="90"/>
      <c r="G133" s="90"/>
      <c r="H133" s="90"/>
      <c r="I133" s="90"/>
      <c r="J133" s="90"/>
      <c r="K133" s="90"/>
      <c r="L133" s="90"/>
      <c r="M133" s="90"/>
      <c r="N133" s="90"/>
      <c r="O133" s="90"/>
      <c r="P133" s="90"/>
      <c r="Q133" s="90"/>
      <c r="R133" s="90"/>
      <c r="S133" s="90"/>
      <c r="W133" s="94" t="s">
        <v>1031</v>
      </c>
      <c r="X133" s="579" t="s">
        <v>1032</v>
      </c>
      <c r="AM133" s="568"/>
      <c r="AN133" s="568"/>
      <c r="AO133" s="568"/>
      <c r="AP133" s="568"/>
      <c r="AQ133" s="568"/>
      <c r="AR133" s="568"/>
      <c r="AS133" s="568"/>
      <c r="AT133" s="568"/>
      <c r="AU133" s="568"/>
    </row>
    <row r="134" spans="1:53">
      <c r="A134" t="s">
        <v>1033</v>
      </c>
      <c r="D134" t="s">
        <v>791</v>
      </c>
      <c r="M134">
        <v>669</v>
      </c>
      <c r="N134">
        <v>1100</v>
      </c>
      <c r="O134">
        <v>1100</v>
      </c>
      <c r="U134" s="16">
        <v>450900</v>
      </c>
      <c r="V134" t="s">
        <v>1034</v>
      </c>
      <c r="W134" t="s">
        <v>791</v>
      </c>
      <c r="AC134" s="563"/>
      <c r="AD134" s="564"/>
      <c r="AE134" s="564"/>
      <c r="AF134" s="564"/>
      <c r="AG134" s="564"/>
      <c r="AH134" s="564"/>
      <c r="AI134" s="564"/>
      <c r="AJ134" s="564"/>
      <c r="AK134" s="564"/>
      <c r="AL134" s="564"/>
      <c r="AM134" s="564">
        <v>180</v>
      </c>
      <c r="AN134" s="564">
        <v>180</v>
      </c>
      <c r="AO134" s="564">
        <v>349</v>
      </c>
      <c r="AP134" s="564">
        <v>360</v>
      </c>
      <c r="AQ134" s="564">
        <v>360</v>
      </c>
      <c r="AR134" s="564">
        <v>360</v>
      </c>
      <c r="AS134" s="564">
        <v>360</v>
      </c>
      <c r="AT134" s="564">
        <v>360</v>
      </c>
      <c r="AU134" s="564">
        <v>360</v>
      </c>
      <c r="AV134" s="564"/>
      <c r="AW134" s="564"/>
      <c r="AX134" s="564"/>
      <c r="AY134" s="564"/>
      <c r="AZ134" s="274"/>
    </row>
    <row r="135" spans="1:53">
      <c r="A135" t="s">
        <v>1034</v>
      </c>
      <c r="D135" t="s">
        <v>792</v>
      </c>
      <c r="H135">
        <f>H134*N30*0.001</f>
        <v>0</v>
      </c>
      <c r="I135">
        <f>I134*N30*0.001</f>
        <v>0</v>
      </c>
      <c r="J135">
        <f>J134*N30*0.001</f>
        <v>0</v>
      </c>
      <c r="K135">
        <f>K134*N30*0.001</f>
        <v>0</v>
      </c>
      <c r="L135">
        <f>L134*N30*0.001</f>
        <v>0</v>
      </c>
      <c r="M135">
        <f>M134*N30*0.001</f>
        <v>66.668000457299655</v>
      </c>
      <c r="N135">
        <f>N134*N30*0.001</f>
        <v>109.61853587896803</v>
      </c>
      <c r="O135">
        <f>O134*N30*0.001</f>
        <v>109.61853587896803</v>
      </c>
      <c r="P135">
        <f>P134*N30*0.001</f>
        <v>0</v>
      </c>
      <c r="Q135">
        <f>Q134*N30*0.001</f>
        <v>0</v>
      </c>
      <c r="R135">
        <f>R134*N30*0.001</f>
        <v>0</v>
      </c>
      <c r="S135">
        <f>S134*N30*0.001</f>
        <v>0</v>
      </c>
      <c r="U135" s="16">
        <v>450900</v>
      </c>
      <c r="V135" t="s">
        <v>1034</v>
      </c>
      <c r="W135" t="s">
        <v>792</v>
      </c>
      <c r="Y135" t="s">
        <v>204</v>
      </c>
      <c r="Z135" t="str">
        <f>VLOOKUP(Y135,'Price Table 8 OHB'!A:B,2,FALSE)</f>
        <v>AOCS / GNC - Engineering and SW</v>
      </c>
      <c r="AC135" s="565">
        <f>AC134*$N$30*0.001</f>
        <v>0</v>
      </c>
      <c r="AD135">
        <f t="shared" ref="AD135:AZ135" si="57">AD134*$N$30*0.001</f>
        <v>0</v>
      </c>
      <c r="AE135">
        <f t="shared" si="57"/>
        <v>0</v>
      </c>
      <c r="AF135">
        <f t="shared" si="57"/>
        <v>0</v>
      </c>
      <c r="AG135">
        <f t="shared" si="57"/>
        <v>0</v>
      </c>
      <c r="AH135">
        <f t="shared" si="57"/>
        <v>0</v>
      </c>
      <c r="AI135">
        <f t="shared" si="57"/>
        <v>0</v>
      </c>
      <c r="AJ135">
        <f t="shared" si="57"/>
        <v>0</v>
      </c>
      <c r="AK135">
        <f t="shared" si="57"/>
        <v>0</v>
      </c>
      <c r="AL135">
        <f t="shared" si="57"/>
        <v>0</v>
      </c>
      <c r="AM135">
        <f t="shared" si="57"/>
        <v>17.937578598376586</v>
      </c>
      <c r="AN135">
        <f t="shared" si="57"/>
        <v>17.937578598376586</v>
      </c>
      <c r="AO135">
        <f t="shared" si="57"/>
        <v>34.778971837963496</v>
      </c>
      <c r="AP135">
        <f t="shared" si="57"/>
        <v>35.875157196753172</v>
      </c>
      <c r="AQ135">
        <f t="shared" si="57"/>
        <v>35.875157196753172</v>
      </c>
      <c r="AR135">
        <f t="shared" si="57"/>
        <v>35.875157196753172</v>
      </c>
      <c r="AS135">
        <f t="shared" si="57"/>
        <v>35.875157196753172</v>
      </c>
      <c r="AT135">
        <f t="shared" si="57"/>
        <v>35.875157196753172</v>
      </c>
      <c r="AU135">
        <f t="shared" si="57"/>
        <v>35.875157196753172</v>
      </c>
      <c r="AV135">
        <f t="shared" si="57"/>
        <v>0</v>
      </c>
      <c r="AW135">
        <f t="shared" si="57"/>
        <v>0</v>
      </c>
      <c r="AX135">
        <f t="shared" si="57"/>
        <v>0</v>
      </c>
      <c r="AY135">
        <f t="shared" si="57"/>
        <v>0</v>
      </c>
      <c r="AZ135" s="275">
        <f t="shared" si="57"/>
        <v>0</v>
      </c>
    </row>
    <row r="136" spans="1:53">
      <c r="D136" t="s">
        <v>793</v>
      </c>
      <c r="E136">
        <f>N65+48+N77+N83+N89+N95+N101+N107+N113+N119+N125+N131+N137</f>
        <v>48</v>
      </c>
      <c r="U136" s="16">
        <v>450900</v>
      </c>
      <c r="V136" t="s">
        <v>1034</v>
      </c>
      <c r="W136" t="s">
        <v>793</v>
      </c>
      <c r="Y136" t="s">
        <v>592</v>
      </c>
      <c r="Z136" t="str">
        <f>VLOOKUP(Y136,'Price Table 8 OHB'!A:B,2,FALSE)</f>
        <v>AOCS / GNC - HW procurements</v>
      </c>
      <c r="AC136" s="565"/>
      <c r="AZ136" s="275"/>
    </row>
    <row r="137" spans="1:53">
      <c r="D137" t="s">
        <v>966</v>
      </c>
      <c r="U137" s="16">
        <v>450900</v>
      </c>
      <c r="V137" t="s">
        <v>1034</v>
      </c>
      <c r="W137" t="s">
        <v>966</v>
      </c>
      <c r="Y137" t="s">
        <v>204</v>
      </c>
      <c r="Z137" t="str">
        <f>VLOOKUP(Y137,'Price Table 8 OHB'!A:B,2,FALSE)</f>
        <v>AOCS / GNC - Engineering and SW</v>
      </c>
      <c r="AC137" s="565"/>
      <c r="AZ137" s="275"/>
    </row>
    <row r="138" spans="1:53" ht="15.75" thickBot="1">
      <c r="D138" t="s">
        <v>1035</v>
      </c>
      <c r="G138" s="570"/>
      <c r="H138">
        <f t="shared" ref="H138:S138" si="58">H135+H136+H137</f>
        <v>0</v>
      </c>
      <c r="I138">
        <f t="shared" si="58"/>
        <v>0</v>
      </c>
      <c r="J138">
        <f>J135+J136+J137</f>
        <v>0</v>
      </c>
      <c r="K138">
        <f t="shared" si="58"/>
        <v>0</v>
      </c>
      <c r="L138">
        <f t="shared" si="58"/>
        <v>0</v>
      </c>
      <c r="M138">
        <f t="shared" si="58"/>
        <v>66.668000457299655</v>
      </c>
      <c r="N138">
        <f t="shared" si="58"/>
        <v>109.61853587896803</v>
      </c>
      <c r="O138">
        <f t="shared" si="58"/>
        <v>109.61853587896803</v>
      </c>
      <c r="P138">
        <f t="shared" si="58"/>
        <v>0</v>
      </c>
      <c r="Q138">
        <f t="shared" si="58"/>
        <v>0</v>
      </c>
      <c r="R138">
        <f t="shared" si="58"/>
        <v>0</v>
      </c>
      <c r="S138">
        <f t="shared" si="58"/>
        <v>0</v>
      </c>
      <c r="T138">
        <f>SUM(H138:S138)</f>
        <v>285.90507221523569</v>
      </c>
      <c r="U138" s="16"/>
      <c r="W138" t="s">
        <v>794</v>
      </c>
      <c r="AC138" s="567">
        <f>SUM(AC135:AC137)</f>
        <v>0</v>
      </c>
      <c r="AD138" s="265">
        <f t="shared" ref="AD138:AZ138" si="59">SUM(AD135:AD137)</f>
        <v>0</v>
      </c>
      <c r="AE138" s="265">
        <f t="shared" si="59"/>
        <v>0</v>
      </c>
      <c r="AF138" s="265">
        <f t="shared" si="59"/>
        <v>0</v>
      </c>
      <c r="AG138" s="265">
        <f t="shared" si="59"/>
        <v>0</v>
      </c>
      <c r="AH138" s="265">
        <f t="shared" si="59"/>
        <v>0</v>
      </c>
      <c r="AI138" s="265">
        <f t="shared" si="59"/>
        <v>0</v>
      </c>
      <c r="AJ138" s="265">
        <f t="shared" si="59"/>
        <v>0</v>
      </c>
      <c r="AK138" s="265">
        <f t="shared" si="59"/>
        <v>0</v>
      </c>
      <c r="AL138" s="265">
        <f t="shared" si="59"/>
        <v>0</v>
      </c>
      <c r="AM138" s="265">
        <f t="shared" si="59"/>
        <v>17.937578598376586</v>
      </c>
      <c r="AN138" s="265">
        <f t="shared" si="59"/>
        <v>17.937578598376586</v>
      </c>
      <c r="AO138" s="265">
        <f t="shared" si="59"/>
        <v>34.778971837963496</v>
      </c>
      <c r="AP138" s="265">
        <f t="shared" si="59"/>
        <v>35.875157196753172</v>
      </c>
      <c r="AQ138" s="265">
        <f t="shared" si="59"/>
        <v>35.875157196753172</v>
      </c>
      <c r="AR138" s="265">
        <f t="shared" si="59"/>
        <v>35.875157196753172</v>
      </c>
      <c r="AS138" s="265">
        <f t="shared" si="59"/>
        <v>35.875157196753172</v>
      </c>
      <c r="AT138" s="265">
        <f t="shared" si="59"/>
        <v>35.875157196753172</v>
      </c>
      <c r="AU138" s="265">
        <f t="shared" si="59"/>
        <v>35.875157196753172</v>
      </c>
      <c r="AV138" s="265">
        <f t="shared" si="59"/>
        <v>0</v>
      </c>
      <c r="AW138" s="265">
        <f t="shared" si="59"/>
        <v>0</v>
      </c>
      <c r="AX138" s="265">
        <f t="shared" si="59"/>
        <v>0</v>
      </c>
      <c r="AY138" s="265">
        <f t="shared" si="59"/>
        <v>0</v>
      </c>
      <c r="AZ138" s="276">
        <f t="shared" si="59"/>
        <v>0</v>
      </c>
      <c r="BA138" s="16">
        <f>SUM(AC138:AZ138)</f>
        <v>285.90507221523575</v>
      </c>
    </row>
    <row r="139" spans="1:53" ht="15.75" thickBot="1">
      <c r="A139" s="73"/>
      <c r="B139" s="70"/>
      <c r="C139" s="73"/>
      <c r="D139" s="73"/>
      <c r="E139" s="73"/>
      <c r="F139" s="73"/>
      <c r="G139" s="566"/>
      <c r="H139" s="73"/>
      <c r="I139" s="73"/>
      <c r="J139" s="73"/>
      <c r="K139" s="73"/>
      <c r="L139" s="73"/>
      <c r="M139" s="73"/>
      <c r="N139" s="73"/>
      <c r="O139" s="73"/>
      <c r="P139" s="73"/>
      <c r="Q139" s="73"/>
      <c r="R139" s="73"/>
      <c r="S139" s="73"/>
      <c r="W139" s="72" t="s">
        <v>1036</v>
      </c>
    </row>
    <row r="140" spans="1:53">
      <c r="A140" s="73" t="s">
        <v>1036</v>
      </c>
      <c r="B140" s="70"/>
      <c r="C140" s="73"/>
      <c r="D140" s="73" t="s">
        <v>791</v>
      </c>
      <c r="E140" s="73"/>
      <c r="F140" s="73"/>
      <c r="G140" s="566"/>
      <c r="H140" s="73">
        <f t="shared" ref="H140:S140" si="60">H62+H68+H74+H80+H86+H92+H98+H104+H110+H116+H122+H128+H134</f>
        <v>0</v>
      </c>
      <c r="I140" s="73">
        <f t="shared" si="60"/>
        <v>6641</v>
      </c>
      <c r="J140" s="73">
        <f t="shared" si="60"/>
        <v>9021</v>
      </c>
      <c r="K140" s="73">
        <f t="shared" si="60"/>
        <v>5659</v>
      </c>
      <c r="L140" s="73">
        <f t="shared" si="60"/>
        <v>2229</v>
      </c>
      <c r="M140" s="73">
        <f t="shared" si="60"/>
        <v>2717</v>
      </c>
      <c r="N140" s="73">
        <f t="shared" si="60"/>
        <v>1740</v>
      </c>
      <c r="O140" s="73">
        <f t="shared" si="60"/>
        <v>1100</v>
      </c>
      <c r="P140" s="73">
        <f t="shared" si="60"/>
        <v>0</v>
      </c>
      <c r="Q140" s="73">
        <f t="shared" si="60"/>
        <v>0</v>
      </c>
      <c r="R140" s="73">
        <f t="shared" si="60"/>
        <v>0</v>
      </c>
      <c r="S140" s="73">
        <f t="shared" si="60"/>
        <v>0</v>
      </c>
      <c r="V140" s="72" t="s">
        <v>1036</v>
      </c>
      <c r="W140" s="73" t="s">
        <v>791</v>
      </c>
      <c r="AC140" s="571">
        <f>SUM(AC62,AC68,AC74,AC80,AC86,AC92,AC98,AC104,AC110,AC116,AC122,AC128,AC134)</f>
        <v>0</v>
      </c>
      <c r="AD140" s="572">
        <f t="shared" ref="AD140:AZ140" si="61">SUM(AD62,AD68,AD74,AD80,AD86,AD92,AD98,AD104,AD110,AD116,AD122,AD128,AD134)</f>
        <v>400</v>
      </c>
      <c r="AE140" s="572">
        <f t="shared" si="61"/>
        <v>1210</v>
      </c>
      <c r="AF140" s="572">
        <f t="shared" si="61"/>
        <v>3003</v>
      </c>
      <c r="AG140" s="572">
        <f t="shared" si="61"/>
        <v>3414</v>
      </c>
      <c r="AH140" s="572">
        <f t="shared" si="61"/>
        <v>3144</v>
      </c>
      <c r="AI140" s="572">
        <f t="shared" si="61"/>
        <v>3177</v>
      </c>
      <c r="AJ140" s="572">
        <f t="shared" si="61"/>
        <v>3240</v>
      </c>
      <c r="AK140" s="572">
        <f t="shared" si="61"/>
        <v>3000</v>
      </c>
      <c r="AL140" s="572">
        <f t="shared" si="61"/>
        <v>2690</v>
      </c>
      <c r="AM140" s="572">
        <f t="shared" si="61"/>
        <v>2118</v>
      </c>
      <c r="AN140" s="572">
        <f t="shared" si="61"/>
        <v>1202</v>
      </c>
      <c r="AO140" s="572">
        <f t="shared" si="61"/>
        <v>349</v>
      </c>
      <c r="AP140" s="572">
        <f t="shared" si="61"/>
        <v>360</v>
      </c>
      <c r="AQ140" s="572">
        <f t="shared" si="61"/>
        <v>360</v>
      </c>
      <c r="AR140" s="572">
        <f t="shared" si="61"/>
        <v>360</v>
      </c>
      <c r="AS140" s="572">
        <f t="shared" si="61"/>
        <v>360</v>
      </c>
      <c r="AT140" s="572">
        <f t="shared" si="61"/>
        <v>360</v>
      </c>
      <c r="AU140" s="572">
        <f t="shared" si="61"/>
        <v>360</v>
      </c>
      <c r="AV140" s="572">
        <f t="shared" si="61"/>
        <v>0</v>
      </c>
      <c r="AW140" s="572">
        <f t="shared" si="61"/>
        <v>0</v>
      </c>
      <c r="AX140" s="572">
        <f t="shared" si="61"/>
        <v>0</v>
      </c>
      <c r="AY140" s="572">
        <f t="shared" si="61"/>
        <v>0</v>
      </c>
      <c r="AZ140" s="573">
        <f t="shared" si="61"/>
        <v>0</v>
      </c>
      <c r="BA140">
        <f>SUM(AC140:AZ140)</f>
        <v>29107</v>
      </c>
    </row>
    <row r="141" spans="1:53">
      <c r="A141" s="73"/>
      <c r="B141" s="70"/>
      <c r="C141" s="73"/>
      <c r="D141" s="73" t="s">
        <v>792</v>
      </c>
      <c r="E141" s="73"/>
      <c r="F141" s="73"/>
      <c r="G141" s="566"/>
      <c r="H141" s="73">
        <f>H140*N30*0.001</f>
        <v>0</v>
      </c>
      <c r="I141" s="73">
        <f>I140*N30*0.001</f>
        <v>661.79699706566066</v>
      </c>
      <c r="J141" s="73">
        <f>J140*N30*0.001</f>
        <v>898.97164742197333</v>
      </c>
      <c r="K141" s="73">
        <f>K140*N30*0.001</f>
        <v>563.93754049007282</v>
      </c>
      <c r="L141" s="73">
        <f>L140*N30*0.001</f>
        <v>222.1270149765634</v>
      </c>
      <c r="M141" s="73">
        <f>M140*N30*0.001</f>
        <v>270.75778362105109</v>
      </c>
      <c r="N141" s="73">
        <f>N140*N30*0.001</f>
        <v>173.39659311764035</v>
      </c>
      <c r="O141" s="73">
        <f>O140*N30*0.001</f>
        <v>109.61853587896803</v>
      </c>
      <c r="P141" s="73">
        <f>P140*N30*0.001</f>
        <v>0</v>
      </c>
      <c r="Q141" s="73">
        <f>Q140*N30*0.001</f>
        <v>0</v>
      </c>
      <c r="R141" s="73">
        <f>R140*N30*0.001</f>
        <v>0</v>
      </c>
      <c r="S141" s="73">
        <f>S140*N30*0.001</f>
        <v>0</v>
      </c>
      <c r="V141" s="72" t="s">
        <v>1036</v>
      </c>
      <c r="W141" s="73" t="s">
        <v>792</v>
      </c>
      <c r="AC141" s="574">
        <f t="shared" ref="AC141:AZ144" si="62">SUM(AC63,AC69,AC75,AC81,AC87,AC93,AC99,AC105,AC111,AC117,AC123,AC129,AC135)</f>
        <v>0</v>
      </c>
      <c r="AD141" s="73">
        <f t="shared" si="62"/>
        <v>39.861285774170199</v>
      </c>
      <c r="AE141" s="73">
        <f t="shared" si="62"/>
        <v>120.58038946686483</v>
      </c>
      <c r="AF141" s="73">
        <f t="shared" si="62"/>
        <v>299.25860294958272</v>
      </c>
      <c r="AG141" s="73">
        <f t="shared" si="62"/>
        <v>340.2160740825426</v>
      </c>
      <c r="AH141" s="73">
        <f t="shared" si="62"/>
        <v>313.3097061849777</v>
      </c>
      <c r="AI141" s="73">
        <f t="shared" si="62"/>
        <v>316.5982622613468</v>
      </c>
      <c r="AJ141" s="73">
        <f t="shared" si="62"/>
        <v>322.87641477077858</v>
      </c>
      <c r="AK141" s="73">
        <f t="shared" si="62"/>
        <v>298.95964330627646</v>
      </c>
      <c r="AL141" s="73">
        <f t="shared" si="62"/>
        <v>268.06714683129456</v>
      </c>
      <c r="AM141" s="73">
        <f t="shared" si="62"/>
        <v>211.06550817423116</v>
      </c>
      <c r="AN141" s="73">
        <f t="shared" si="62"/>
        <v>119.78316375138144</v>
      </c>
      <c r="AO141" s="73">
        <f t="shared" si="62"/>
        <v>34.778971837963496</v>
      </c>
      <c r="AP141" s="73">
        <f t="shared" si="62"/>
        <v>35.875157196753172</v>
      </c>
      <c r="AQ141" s="73">
        <f t="shared" si="62"/>
        <v>35.875157196753172</v>
      </c>
      <c r="AR141" s="73">
        <f t="shared" si="62"/>
        <v>35.875157196753172</v>
      </c>
      <c r="AS141" s="73">
        <f t="shared" si="62"/>
        <v>35.875157196753172</v>
      </c>
      <c r="AT141" s="73">
        <f t="shared" si="62"/>
        <v>35.875157196753172</v>
      </c>
      <c r="AU141" s="73">
        <f t="shared" si="62"/>
        <v>35.875157196753172</v>
      </c>
      <c r="AV141" s="73">
        <f t="shared" si="62"/>
        <v>0</v>
      </c>
      <c r="AW141" s="73">
        <f t="shared" si="62"/>
        <v>0</v>
      </c>
      <c r="AX141" s="73">
        <f t="shared" si="62"/>
        <v>0</v>
      </c>
      <c r="AY141" s="73">
        <f t="shared" si="62"/>
        <v>0</v>
      </c>
      <c r="AZ141" s="575">
        <f t="shared" si="62"/>
        <v>0</v>
      </c>
      <c r="BA141">
        <f t="shared" ref="BA141:BA144" si="63">SUM(AC141:AZ141)</f>
        <v>2900.6061125719298</v>
      </c>
    </row>
    <row r="142" spans="1:53">
      <c r="A142" s="73"/>
      <c r="B142" s="70"/>
      <c r="C142" s="73"/>
      <c r="D142" s="73" t="s">
        <v>1037</v>
      </c>
      <c r="E142" s="73"/>
      <c r="F142" s="73"/>
      <c r="G142" s="566"/>
      <c r="H142" s="73">
        <f t="shared" ref="H142:R143" si="64">H64+H70+H76+H82+H88+H94+H100+H106+H112+H118+H124+H130+H136</f>
        <v>0</v>
      </c>
      <c r="I142" s="73">
        <f t="shared" si="64"/>
        <v>290.125</v>
      </c>
      <c r="J142" s="73">
        <f t="shared" si="64"/>
        <v>1022.75</v>
      </c>
      <c r="K142" s="73">
        <f t="shared" si="64"/>
        <v>991.625</v>
      </c>
      <c r="L142" s="73">
        <f t="shared" si="64"/>
        <v>0</v>
      </c>
      <c r="M142" s="73">
        <f t="shared" si="64"/>
        <v>0</v>
      </c>
      <c r="N142" s="73">
        <f t="shared" si="64"/>
        <v>0</v>
      </c>
      <c r="O142" s="73">
        <f t="shared" si="64"/>
        <v>0</v>
      </c>
      <c r="P142" s="73">
        <f t="shared" si="64"/>
        <v>0</v>
      </c>
      <c r="Q142" s="73">
        <f t="shared" si="64"/>
        <v>0</v>
      </c>
      <c r="R142" s="73">
        <f t="shared" si="64"/>
        <v>0</v>
      </c>
      <c r="S142" s="73"/>
      <c r="V142" s="72" t="s">
        <v>1036</v>
      </c>
      <c r="W142" s="73" t="s">
        <v>1037</v>
      </c>
      <c r="AC142" s="574">
        <f t="shared" si="62"/>
        <v>0</v>
      </c>
      <c r="AD142" s="73">
        <f t="shared" si="62"/>
        <v>0</v>
      </c>
      <c r="AE142" s="73">
        <f t="shared" si="62"/>
        <v>0</v>
      </c>
      <c r="AF142" s="73">
        <f t="shared" si="62"/>
        <v>0</v>
      </c>
      <c r="AG142" s="73">
        <f t="shared" si="62"/>
        <v>145.0625</v>
      </c>
      <c r="AH142" s="73">
        <f t="shared" si="62"/>
        <v>145.0625</v>
      </c>
      <c r="AI142" s="73">
        <f t="shared" si="62"/>
        <v>511.375</v>
      </c>
      <c r="AJ142" s="73">
        <f t="shared" si="62"/>
        <v>511.375</v>
      </c>
      <c r="AK142" s="73">
        <f t="shared" si="62"/>
        <v>495.8125</v>
      </c>
      <c r="AL142" s="73">
        <f t="shared" si="62"/>
        <v>495.8125</v>
      </c>
      <c r="AM142" s="73">
        <f t="shared" si="62"/>
        <v>0</v>
      </c>
      <c r="AN142" s="73">
        <f t="shared" si="62"/>
        <v>0</v>
      </c>
      <c r="AO142" s="73">
        <f t="shared" si="62"/>
        <v>0</v>
      </c>
      <c r="AP142" s="73">
        <f t="shared" si="62"/>
        <v>0</v>
      </c>
      <c r="AQ142" s="73">
        <f t="shared" si="62"/>
        <v>0</v>
      </c>
      <c r="AR142" s="73">
        <f t="shared" si="62"/>
        <v>0</v>
      </c>
      <c r="AS142" s="73">
        <f t="shared" si="62"/>
        <v>0</v>
      </c>
      <c r="AT142" s="73">
        <f t="shared" si="62"/>
        <v>0</v>
      </c>
      <c r="AU142" s="73">
        <f t="shared" si="62"/>
        <v>0</v>
      </c>
      <c r="AV142" s="73">
        <f t="shared" si="62"/>
        <v>0</v>
      </c>
      <c r="AW142" s="73">
        <f t="shared" si="62"/>
        <v>0</v>
      </c>
      <c r="AX142" s="73">
        <f t="shared" si="62"/>
        <v>0</v>
      </c>
      <c r="AY142" s="73">
        <f t="shared" si="62"/>
        <v>0</v>
      </c>
      <c r="AZ142" s="575">
        <f t="shared" si="62"/>
        <v>0</v>
      </c>
      <c r="BA142">
        <f t="shared" si="63"/>
        <v>2304.5</v>
      </c>
    </row>
    <row r="143" spans="1:53">
      <c r="A143" s="73"/>
      <c r="B143" s="70"/>
      <c r="C143" s="73"/>
      <c r="D143" s="73" t="s">
        <v>1038</v>
      </c>
      <c r="E143" s="73"/>
      <c r="F143" s="73"/>
      <c r="G143" s="566"/>
      <c r="H143" s="73">
        <f t="shared" si="64"/>
        <v>0</v>
      </c>
      <c r="I143" s="73">
        <f t="shared" si="64"/>
        <v>10</v>
      </c>
      <c r="J143" s="73">
        <f t="shared" si="64"/>
        <v>10</v>
      </c>
      <c r="K143" s="73">
        <f t="shared" si="64"/>
        <v>10</v>
      </c>
      <c r="L143" s="73">
        <f t="shared" si="64"/>
        <v>0</v>
      </c>
      <c r="M143" s="73">
        <f t="shared" si="64"/>
        <v>0</v>
      </c>
      <c r="N143" s="73">
        <f>M65+M71+M77+M83+M89+M95+M101+M107+M113+M119+M125+M131+M137</f>
        <v>0</v>
      </c>
      <c r="O143" s="73">
        <f>O65+O71+O77+O83+O89+O95+O101+O107+O113+O119+O125+O131+O137</f>
        <v>0</v>
      </c>
      <c r="P143" s="73">
        <f>P65+P71+P77+P83+P89+P95+P101+P107+P113+P119+P125+P131+P137</f>
        <v>0</v>
      </c>
      <c r="Q143" s="73">
        <f>Q65+Q71+Q77+Q83+Q89+Q95+Q101+Q107+Q113+Q119+Q125+Q131+Q137</f>
        <v>0</v>
      </c>
      <c r="R143" s="73">
        <f>R65+R71+R77+R83+R89+R95+R101+R107+R113+R119+R125+R131+R137</f>
        <v>0</v>
      </c>
      <c r="S143" s="73">
        <f>S64+S70+S76+S82+S88+S94+S100+S106+S112+S118+S124+S130+S136</f>
        <v>0</v>
      </c>
      <c r="V143" s="72" t="s">
        <v>1036</v>
      </c>
      <c r="W143" s="73" t="s">
        <v>1038</v>
      </c>
      <c r="AC143" s="574">
        <f t="shared" si="62"/>
        <v>0</v>
      </c>
      <c r="AD143" s="73">
        <f t="shared" si="62"/>
        <v>0</v>
      </c>
      <c r="AE143" s="73">
        <f t="shared" si="62"/>
        <v>0</v>
      </c>
      <c r="AF143" s="73">
        <f t="shared" si="62"/>
        <v>0</v>
      </c>
      <c r="AG143" s="73">
        <f t="shared" si="62"/>
        <v>5</v>
      </c>
      <c r="AH143" s="73">
        <f t="shared" si="62"/>
        <v>5</v>
      </c>
      <c r="AI143" s="73">
        <f t="shared" si="62"/>
        <v>5</v>
      </c>
      <c r="AJ143" s="73">
        <f t="shared" si="62"/>
        <v>5</v>
      </c>
      <c r="AK143" s="73">
        <f t="shared" si="62"/>
        <v>5</v>
      </c>
      <c r="AL143" s="73">
        <f t="shared" si="62"/>
        <v>5</v>
      </c>
      <c r="AM143" s="73">
        <f t="shared" si="62"/>
        <v>0</v>
      </c>
      <c r="AN143" s="73">
        <f t="shared" si="62"/>
        <v>0</v>
      </c>
      <c r="AO143" s="73">
        <f t="shared" si="62"/>
        <v>0</v>
      </c>
      <c r="AP143" s="73">
        <f t="shared" si="62"/>
        <v>0</v>
      </c>
      <c r="AQ143" s="73">
        <f t="shared" si="62"/>
        <v>0</v>
      </c>
      <c r="AR143" s="73">
        <f t="shared" si="62"/>
        <v>0</v>
      </c>
      <c r="AS143" s="73">
        <f t="shared" si="62"/>
        <v>0</v>
      </c>
      <c r="AT143" s="73">
        <f t="shared" si="62"/>
        <v>0</v>
      </c>
      <c r="AU143" s="73">
        <f t="shared" si="62"/>
        <v>0</v>
      </c>
      <c r="AV143" s="73">
        <f t="shared" si="62"/>
        <v>0</v>
      </c>
      <c r="AW143" s="73">
        <f t="shared" si="62"/>
        <v>0</v>
      </c>
      <c r="AX143" s="73">
        <f t="shared" si="62"/>
        <v>0</v>
      </c>
      <c r="AY143" s="73">
        <f t="shared" si="62"/>
        <v>0</v>
      </c>
      <c r="AZ143" s="575">
        <f t="shared" si="62"/>
        <v>0</v>
      </c>
      <c r="BA143">
        <f t="shared" si="63"/>
        <v>30</v>
      </c>
    </row>
    <row r="144" spans="1:53" ht="15.75" thickBot="1">
      <c r="A144" s="73"/>
      <c r="B144" s="70"/>
      <c r="C144" s="73"/>
      <c r="D144" s="73" t="s">
        <v>794</v>
      </c>
      <c r="E144" s="73"/>
      <c r="F144" s="73"/>
      <c r="G144" s="566"/>
      <c r="H144" s="73">
        <f t="shared" ref="H144:M144" si="65">H141+H142+H143</f>
        <v>0</v>
      </c>
      <c r="I144" s="73">
        <f t="shared" si="65"/>
        <v>961.92199706566066</v>
      </c>
      <c r="J144" s="73">
        <f t="shared" si="65"/>
        <v>1931.7216474219733</v>
      </c>
      <c r="K144" s="73">
        <f t="shared" si="65"/>
        <v>1565.5625404900729</v>
      </c>
      <c r="L144" s="73">
        <f t="shared" si="65"/>
        <v>222.1270149765634</v>
      </c>
      <c r="M144" s="73">
        <f t="shared" si="65"/>
        <v>270.75778362105109</v>
      </c>
      <c r="N144" s="73">
        <f>N140*N30*0.001</f>
        <v>173.39659311764035</v>
      </c>
      <c r="O144" s="73">
        <f>O140*N30*0.001</f>
        <v>109.61853587896803</v>
      </c>
      <c r="P144" s="73">
        <f>P141+P142+P143</f>
        <v>0</v>
      </c>
      <c r="Q144" s="73">
        <f>Q141+Q142+Q143</f>
        <v>0</v>
      </c>
      <c r="R144" s="73">
        <f>R140*N30*0.001</f>
        <v>0</v>
      </c>
      <c r="S144" s="73">
        <f>S141+S142+S143</f>
        <v>0</v>
      </c>
      <c r="T144" s="77">
        <f>SUM(H144:S144)</f>
        <v>5235.1061125719298</v>
      </c>
      <c r="V144" s="72"/>
      <c r="W144" s="73" t="s">
        <v>794</v>
      </c>
      <c r="AC144" s="576">
        <f t="shared" si="62"/>
        <v>0</v>
      </c>
      <c r="AD144" s="577">
        <f t="shared" si="62"/>
        <v>39.861285774170199</v>
      </c>
      <c r="AE144" s="577">
        <f t="shared" si="62"/>
        <v>120.58038946686483</v>
      </c>
      <c r="AF144" s="577">
        <f t="shared" si="62"/>
        <v>299.25860294958272</v>
      </c>
      <c r="AG144" s="577">
        <f t="shared" si="62"/>
        <v>490.2785740825426</v>
      </c>
      <c r="AH144" s="577">
        <f t="shared" si="62"/>
        <v>463.3722061849777</v>
      </c>
      <c r="AI144" s="577">
        <f t="shared" si="62"/>
        <v>832.97326226134669</v>
      </c>
      <c r="AJ144" s="577">
        <f t="shared" si="62"/>
        <v>839.25141477077864</v>
      </c>
      <c r="AK144" s="577">
        <f t="shared" si="62"/>
        <v>799.77214330627646</v>
      </c>
      <c r="AL144" s="577">
        <f t="shared" si="62"/>
        <v>768.87964683129462</v>
      </c>
      <c r="AM144" s="577">
        <f t="shared" si="62"/>
        <v>211.06550817423116</v>
      </c>
      <c r="AN144" s="577">
        <f t="shared" si="62"/>
        <v>119.78316375138144</v>
      </c>
      <c r="AO144" s="577">
        <f t="shared" si="62"/>
        <v>34.778971837963496</v>
      </c>
      <c r="AP144" s="577">
        <f t="shared" si="62"/>
        <v>35.875157196753172</v>
      </c>
      <c r="AQ144" s="577">
        <f t="shared" si="62"/>
        <v>35.875157196753172</v>
      </c>
      <c r="AR144" s="577">
        <f t="shared" si="62"/>
        <v>35.875157196753172</v>
      </c>
      <c r="AS144" s="577">
        <f t="shared" si="62"/>
        <v>35.875157196753172</v>
      </c>
      <c r="AT144" s="577">
        <f t="shared" si="62"/>
        <v>35.875157196753172</v>
      </c>
      <c r="AU144" s="577">
        <f t="shared" si="62"/>
        <v>35.875157196753172</v>
      </c>
      <c r="AV144" s="577">
        <f t="shared" si="62"/>
        <v>0</v>
      </c>
      <c r="AW144" s="577">
        <f t="shared" si="62"/>
        <v>0</v>
      </c>
      <c r="AX144" s="577">
        <f t="shared" si="62"/>
        <v>0</v>
      </c>
      <c r="AY144" s="577">
        <f t="shared" si="62"/>
        <v>0</v>
      </c>
      <c r="AZ144" s="578">
        <f t="shared" si="62"/>
        <v>0</v>
      </c>
      <c r="BA144" s="16">
        <f t="shared" si="63"/>
        <v>5235.1061125719307</v>
      </c>
    </row>
    <row r="145" spans="1:53" ht="15.75" thickBot="1">
      <c r="A145" s="73"/>
      <c r="B145" s="70"/>
      <c r="C145" s="73"/>
      <c r="D145" s="73"/>
      <c r="E145" s="73"/>
      <c r="F145" s="73"/>
      <c r="G145" s="73"/>
      <c r="H145" s="73"/>
      <c r="I145" s="73"/>
      <c r="J145" s="73"/>
      <c r="K145" s="73"/>
      <c r="L145" s="73"/>
      <c r="M145" s="73"/>
      <c r="N145" s="73"/>
      <c r="O145" s="73"/>
      <c r="P145" s="73"/>
      <c r="Q145" s="73"/>
      <c r="R145" s="73"/>
      <c r="S145" s="73"/>
      <c r="T145" s="79">
        <f>SUM(T66:T138)*1.1</f>
        <v>5758.6167238291237</v>
      </c>
      <c r="W145" s="94" t="s">
        <v>1039</v>
      </c>
      <c r="X145" s="94" t="s">
        <v>1040</v>
      </c>
    </row>
    <row r="146" spans="1:53">
      <c r="A146" t="s">
        <v>1041</v>
      </c>
      <c r="D146" t="s">
        <v>791</v>
      </c>
      <c r="I146">
        <v>480</v>
      </c>
      <c r="J146">
        <v>360</v>
      </c>
      <c r="K146">
        <v>360</v>
      </c>
      <c r="U146" s="16">
        <v>470100</v>
      </c>
      <c r="V146" t="s">
        <v>1042</v>
      </c>
      <c r="W146" t="s">
        <v>791</v>
      </c>
      <c r="AC146" s="563"/>
      <c r="AD146" s="564"/>
      <c r="AE146" s="568">
        <f>I146/2</f>
        <v>240</v>
      </c>
      <c r="AF146" s="568">
        <f>I146/2</f>
        <v>240</v>
      </c>
      <c r="AG146" s="568">
        <f>J146/2</f>
        <v>180</v>
      </c>
      <c r="AH146" s="568">
        <f>J146/2</f>
        <v>180</v>
      </c>
      <c r="AI146" s="568">
        <f>K146/2</f>
        <v>180</v>
      </c>
      <c r="AJ146" s="568">
        <f>K146/2</f>
        <v>180</v>
      </c>
      <c r="AK146" s="564"/>
      <c r="AL146" s="564"/>
      <c r="AM146" s="564"/>
      <c r="AN146" s="564"/>
      <c r="AO146" s="564"/>
      <c r="AP146" s="564"/>
      <c r="AQ146" s="564"/>
      <c r="AR146" s="564"/>
      <c r="AS146" s="564"/>
      <c r="AT146" s="564"/>
      <c r="AU146" s="564"/>
      <c r="AV146" s="564"/>
      <c r="AW146" s="564"/>
      <c r="AX146" s="564"/>
      <c r="AY146" s="564"/>
      <c r="AZ146" s="274"/>
    </row>
    <row r="147" spans="1:53">
      <c r="A147" t="s">
        <v>1042</v>
      </c>
      <c r="D147" t="s">
        <v>792</v>
      </c>
      <c r="H147">
        <f>H146*N30*0.001</f>
        <v>0</v>
      </c>
      <c r="I147">
        <f>I146*N30*0.001</f>
        <v>47.833542929004231</v>
      </c>
      <c r="J147">
        <f>J146*N30*0.001</f>
        <v>35.875157196753172</v>
      </c>
      <c r="K147">
        <f>K146*N30*0.001</f>
        <v>35.875157196753172</v>
      </c>
      <c r="L147">
        <f>L146*N30*0.001</f>
        <v>0</v>
      </c>
      <c r="M147">
        <f>M146*N30*0.001</f>
        <v>0</v>
      </c>
      <c r="N147">
        <f>N146*N30*0.001</f>
        <v>0</v>
      </c>
      <c r="O147">
        <f>O146*N30*0.001</f>
        <v>0</v>
      </c>
      <c r="P147">
        <f>P146*N30*0.001</f>
        <v>0</v>
      </c>
      <c r="Q147">
        <f>Q146*N30*0.001</f>
        <v>0</v>
      </c>
      <c r="R147">
        <f>R146*N30*0.001</f>
        <v>0</v>
      </c>
      <c r="S147">
        <f>S146*N30*0.001</f>
        <v>0</v>
      </c>
      <c r="U147" s="16">
        <v>470100</v>
      </c>
      <c r="V147" t="s">
        <v>1042</v>
      </c>
      <c r="W147" t="s">
        <v>792</v>
      </c>
      <c r="Y147" t="s">
        <v>275</v>
      </c>
      <c r="Z147" t="str">
        <f>VLOOKUP(Y147,'Price Table 8 OHB'!A:B,2,FALSE)</f>
        <v>Propulsion - Engineering</v>
      </c>
      <c r="AC147" s="565">
        <f t="shared" ref="AC147:AZ147" si="66">AC146*$N$30*0.001</f>
        <v>0</v>
      </c>
      <c r="AD147">
        <f t="shared" si="66"/>
        <v>0</v>
      </c>
      <c r="AE147">
        <f t="shared" si="66"/>
        <v>23.916771464502116</v>
      </c>
      <c r="AF147">
        <f t="shared" si="66"/>
        <v>23.916771464502116</v>
      </c>
      <c r="AG147">
        <f t="shared" si="66"/>
        <v>17.937578598376586</v>
      </c>
      <c r="AH147">
        <f t="shared" si="66"/>
        <v>17.937578598376586</v>
      </c>
      <c r="AI147">
        <f t="shared" si="66"/>
        <v>17.937578598376586</v>
      </c>
      <c r="AJ147">
        <f t="shared" si="66"/>
        <v>17.937578598376586</v>
      </c>
      <c r="AK147">
        <f t="shared" si="66"/>
        <v>0</v>
      </c>
      <c r="AL147">
        <f t="shared" si="66"/>
        <v>0</v>
      </c>
      <c r="AM147">
        <f t="shared" si="66"/>
        <v>0</v>
      </c>
      <c r="AN147">
        <f t="shared" si="66"/>
        <v>0</v>
      </c>
      <c r="AO147">
        <f t="shared" si="66"/>
        <v>0</v>
      </c>
      <c r="AP147">
        <f t="shared" si="66"/>
        <v>0</v>
      </c>
      <c r="AQ147">
        <f t="shared" si="66"/>
        <v>0</v>
      </c>
      <c r="AR147">
        <f t="shared" si="66"/>
        <v>0</v>
      </c>
      <c r="AS147">
        <f t="shared" si="66"/>
        <v>0</v>
      </c>
      <c r="AT147">
        <f t="shared" si="66"/>
        <v>0</v>
      </c>
      <c r="AU147">
        <f t="shared" si="66"/>
        <v>0</v>
      </c>
      <c r="AV147">
        <f t="shared" si="66"/>
        <v>0</v>
      </c>
      <c r="AW147">
        <f t="shared" si="66"/>
        <v>0</v>
      </c>
      <c r="AX147">
        <f t="shared" si="66"/>
        <v>0</v>
      </c>
      <c r="AY147">
        <f t="shared" si="66"/>
        <v>0</v>
      </c>
      <c r="AZ147" s="275">
        <f t="shared" si="66"/>
        <v>0</v>
      </c>
    </row>
    <row r="148" spans="1:53">
      <c r="D148" t="s">
        <v>793</v>
      </c>
      <c r="U148" s="16">
        <v>470100</v>
      </c>
      <c r="V148" t="s">
        <v>1042</v>
      </c>
      <c r="W148" t="s">
        <v>793</v>
      </c>
      <c r="Y148" t="s">
        <v>596</v>
      </c>
      <c r="Z148" t="str">
        <f>VLOOKUP(Y148,'Price Table 8 OHB'!A:B,2,FALSE)</f>
        <v>Propulsion - HW procurements</v>
      </c>
      <c r="AC148" s="565"/>
      <c r="AZ148" s="275"/>
    </row>
    <row r="149" spans="1:53">
      <c r="D149" t="s">
        <v>966</v>
      </c>
      <c r="U149" s="16">
        <v>470100</v>
      </c>
      <c r="V149" t="s">
        <v>1042</v>
      </c>
      <c r="W149" t="s">
        <v>966</v>
      </c>
      <c r="Y149" t="s">
        <v>275</v>
      </c>
      <c r="Z149" t="str">
        <f>VLOOKUP(Y149,'Price Table 8 OHB'!A:B,2,FALSE)</f>
        <v>Propulsion - Engineering</v>
      </c>
      <c r="AC149" s="565"/>
      <c r="AZ149" s="275"/>
    </row>
    <row r="150" spans="1:53" ht="15.75" thickBot="1">
      <c r="D150" t="s">
        <v>794</v>
      </c>
      <c r="G150" s="570"/>
      <c r="H150">
        <f t="shared" ref="H150:S150" si="67">H147+H148+H149</f>
        <v>0</v>
      </c>
      <c r="I150">
        <f t="shared" si="67"/>
        <v>47.833542929004231</v>
      </c>
      <c r="J150">
        <f>J147+J148+J149</f>
        <v>35.875157196753172</v>
      </c>
      <c r="K150">
        <f t="shared" si="67"/>
        <v>35.875157196753172</v>
      </c>
      <c r="L150">
        <f t="shared" si="67"/>
        <v>0</v>
      </c>
      <c r="M150">
        <f t="shared" si="67"/>
        <v>0</v>
      </c>
      <c r="N150">
        <f t="shared" si="67"/>
        <v>0</v>
      </c>
      <c r="O150">
        <f t="shared" si="67"/>
        <v>0</v>
      </c>
      <c r="P150">
        <f t="shared" si="67"/>
        <v>0</v>
      </c>
      <c r="Q150">
        <f t="shared" si="67"/>
        <v>0</v>
      </c>
      <c r="R150">
        <f t="shared" si="67"/>
        <v>0</v>
      </c>
      <c r="S150">
        <f t="shared" si="67"/>
        <v>0</v>
      </c>
      <c r="T150">
        <f>SUM(H150:S150)</f>
        <v>119.58385732251057</v>
      </c>
      <c r="U150" s="16"/>
      <c r="W150" t="s">
        <v>794</v>
      </c>
      <c r="AC150" s="567">
        <f>SUM(AC147:AC149)</f>
        <v>0</v>
      </c>
      <c r="AD150" s="265">
        <f t="shared" ref="AD150:AZ150" si="68">SUM(AD147:AD149)</f>
        <v>0</v>
      </c>
      <c r="AE150" s="265">
        <f t="shared" si="68"/>
        <v>23.916771464502116</v>
      </c>
      <c r="AF150" s="265">
        <f t="shared" si="68"/>
        <v>23.916771464502116</v>
      </c>
      <c r="AG150" s="265">
        <f t="shared" si="68"/>
        <v>17.937578598376586</v>
      </c>
      <c r="AH150" s="265">
        <f t="shared" si="68"/>
        <v>17.937578598376586</v>
      </c>
      <c r="AI150" s="265">
        <f t="shared" si="68"/>
        <v>17.937578598376586</v>
      </c>
      <c r="AJ150" s="265">
        <f t="shared" si="68"/>
        <v>17.937578598376586</v>
      </c>
      <c r="AK150" s="265">
        <f t="shared" si="68"/>
        <v>0</v>
      </c>
      <c r="AL150" s="265">
        <f t="shared" si="68"/>
        <v>0</v>
      </c>
      <c r="AM150" s="265">
        <f t="shared" si="68"/>
        <v>0</v>
      </c>
      <c r="AN150" s="265">
        <f t="shared" si="68"/>
        <v>0</v>
      </c>
      <c r="AO150" s="265">
        <f t="shared" si="68"/>
        <v>0</v>
      </c>
      <c r="AP150" s="265">
        <f t="shared" si="68"/>
        <v>0</v>
      </c>
      <c r="AQ150" s="265">
        <f t="shared" si="68"/>
        <v>0</v>
      </c>
      <c r="AR150" s="265">
        <f t="shared" si="68"/>
        <v>0</v>
      </c>
      <c r="AS150" s="265">
        <f t="shared" si="68"/>
        <v>0</v>
      </c>
      <c r="AT150" s="265">
        <f t="shared" si="68"/>
        <v>0</v>
      </c>
      <c r="AU150" s="265">
        <f t="shared" si="68"/>
        <v>0</v>
      </c>
      <c r="AV150" s="265">
        <f t="shared" si="68"/>
        <v>0</v>
      </c>
      <c r="AW150" s="265">
        <f t="shared" si="68"/>
        <v>0</v>
      </c>
      <c r="AX150" s="265">
        <f t="shared" si="68"/>
        <v>0</v>
      </c>
      <c r="AY150" s="265">
        <f t="shared" si="68"/>
        <v>0</v>
      </c>
      <c r="AZ150" s="276">
        <f t="shared" si="68"/>
        <v>0</v>
      </c>
      <c r="BA150" s="16">
        <f>SUM(AC150:AZ150)</f>
        <v>119.58385732251058</v>
      </c>
    </row>
    <row r="151" spans="1:53" ht="15.75" thickBot="1">
      <c r="A151" s="90"/>
      <c r="B151" s="91"/>
      <c r="C151" s="90"/>
      <c r="D151" s="90"/>
      <c r="E151" s="90"/>
      <c r="F151" s="90"/>
      <c r="G151" s="90"/>
      <c r="H151" s="90"/>
      <c r="I151" s="90"/>
      <c r="J151" s="90"/>
      <c r="K151" s="90"/>
      <c r="L151" s="90"/>
      <c r="M151" s="90"/>
      <c r="N151" s="90"/>
      <c r="O151" s="90"/>
      <c r="P151" s="90"/>
      <c r="Q151" s="90"/>
      <c r="R151" s="90"/>
      <c r="S151" s="90"/>
      <c r="W151" s="94" t="s">
        <v>1043</v>
      </c>
      <c r="X151" s="94" t="s">
        <v>1040</v>
      </c>
    </row>
    <row r="152" spans="1:53">
      <c r="A152" t="s">
        <v>1044</v>
      </c>
      <c r="D152" t="s">
        <v>791</v>
      </c>
      <c r="J152">
        <v>300</v>
      </c>
      <c r="K152">
        <v>180</v>
      </c>
      <c r="U152" s="16">
        <v>470210</v>
      </c>
      <c r="V152" t="s">
        <v>1045</v>
      </c>
      <c r="W152" t="s">
        <v>791</v>
      </c>
      <c r="AC152" s="563"/>
      <c r="AD152" s="564"/>
      <c r="AE152" s="564"/>
      <c r="AF152" s="564"/>
      <c r="AG152" s="564"/>
      <c r="AH152" s="568">
        <f>J152/2</f>
        <v>150</v>
      </c>
      <c r="AI152" s="568">
        <f>J152/2</f>
        <v>150</v>
      </c>
      <c r="AJ152" s="568">
        <f>K152/2</f>
        <v>90</v>
      </c>
      <c r="AK152" s="568">
        <f>K152/2</f>
        <v>90</v>
      </c>
      <c r="AL152" s="564"/>
      <c r="AM152" s="564"/>
      <c r="AN152" s="564"/>
      <c r="AO152" s="564"/>
      <c r="AP152" s="564"/>
      <c r="AQ152" s="564"/>
      <c r="AR152" s="564"/>
      <c r="AS152" s="564"/>
      <c r="AT152" s="564"/>
      <c r="AU152" s="564"/>
      <c r="AV152" s="564"/>
      <c r="AW152" s="564"/>
      <c r="AX152" s="564"/>
      <c r="AY152" s="564"/>
      <c r="AZ152" s="274"/>
    </row>
    <row r="153" spans="1:53">
      <c r="A153" t="s">
        <v>1046</v>
      </c>
      <c r="D153" t="s">
        <v>792</v>
      </c>
      <c r="H153">
        <f>H152*N30*0.001</f>
        <v>0</v>
      </c>
      <c r="I153">
        <f>I152*N30*0.001</f>
        <v>0</v>
      </c>
      <c r="J153">
        <f>J152*N30*0.001</f>
        <v>29.895964330627645</v>
      </c>
      <c r="K153">
        <f>K152*N30*0.001</f>
        <v>17.937578598376586</v>
      </c>
      <c r="L153">
        <f>L152*N30*0.001</f>
        <v>0</v>
      </c>
      <c r="M153">
        <f>M152*N30*0.001</f>
        <v>0</v>
      </c>
      <c r="N153">
        <f>N152*N30*0.001</f>
        <v>0</v>
      </c>
      <c r="O153">
        <f>O152*N30*0.001</f>
        <v>0</v>
      </c>
      <c r="P153">
        <f>P152*N30*0.001</f>
        <v>0</v>
      </c>
      <c r="Q153">
        <f>Q152*N30*0.001</f>
        <v>0</v>
      </c>
      <c r="R153">
        <f>R152*N30*0.001</f>
        <v>0</v>
      </c>
      <c r="S153">
        <f>S152*N30*0.001</f>
        <v>0</v>
      </c>
      <c r="U153" s="16">
        <v>470210</v>
      </c>
      <c r="V153" t="s">
        <v>1045</v>
      </c>
      <c r="W153" t="s">
        <v>792</v>
      </c>
      <c r="Y153" t="s">
        <v>275</v>
      </c>
      <c r="Z153" t="str">
        <f>VLOOKUP(Y153,'Price Table 8 OHB'!A:B,2,FALSE)</f>
        <v>Propulsion - Engineering</v>
      </c>
      <c r="AC153" s="565">
        <f>AC152*$N$30*0.001</f>
        <v>0</v>
      </c>
      <c r="AD153">
        <f>AD152*$N$30*0.001</f>
        <v>0</v>
      </c>
      <c r="AE153">
        <f t="shared" ref="AE153:AZ153" si="69">AE152*$N$30*0.001</f>
        <v>0</v>
      </c>
      <c r="AF153">
        <f t="shared" si="69"/>
        <v>0</v>
      </c>
      <c r="AG153">
        <f t="shared" si="69"/>
        <v>0</v>
      </c>
      <c r="AH153">
        <f t="shared" si="69"/>
        <v>14.947982165313823</v>
      </c>
      <c r="AI153">
        <f t="shared" si="69"/>
        <v>14.947982165313823</v>
      </c>
      <c r="AJ153">
        <f t="shared" si="69"/>
        <v>8.9687892991882929</v>
      </c>
      <c r="AK153">
        <f t="shared" si="69"/>
        <v>8.9687892991882929</v>
      </c>
      <c r="AL153">
        <f t="shared" si="69"/>
        <v>0</v>
      </c>
      <c r="AM153">
        <f t="shared" si="69"/>
        <v>0</v>
      </c>
      <c r="AN153">
        <f t="shared" si="69"/>
        <v>0</v>
      </c>
      <c r="AO153">
        <f t="shared" si="69"/>
        <v>0</v>
      </c>
      <c r="AP153">
        <f t="shared" si="69"/>
        <v>0</v>
      </c>
      <c r="AQ153">
        <f t="shared" si="69"/>
        <v>0</v>
      </c>
      <c r="AR153">
        <f t="shared" si="69"/>
        <v>0</v>
      </c>
      <c r="AS153">
        <f t="shared" si="69"/>
        <v>0</v>
      </c>
      <c r="AT153">
        <f t="shared" si="69"/>
        <v>0</v>
      </c>
      <c r="AU153">
        <f t="shared" si="69"/>
        <v>0</v>
      </c>
      <c r="AV153">
        <f t="shared" si="69"/>
        <v>0</v>
      </c>
      <c r="AW153">
        <f t="shared" si="69"/>
        <v>0</v>
      </c>
      <c r="AX153">
        <f t="shared" si="69"/>
        <v>0</v>
      </c>
      <c r="AY153">
        <f t="shared" si="69"/>
        <v>0</v>
      </c>
      <c r="AZ153" s="275">
        <f t="shared" si="69"/>
        <v>0</v>
      </c>
    </row>
    <row r="154" spans="1:53">
      <c r="A154" t="s">
        <v>1047</v>
      </c>
      <c r="D154" t="s">
        <v>793</v>
      </c>
      <c r="U154" s="16">
        <v>470210</v>
      </c>
      <c r="V154" t="s">
        <v>1045</v>
      </c>
      <c r="W154" t="s">
        <v>793</v>
      </c>
      <c r="Y154" t="s">
        <v>596</v>
      </c>
      <c r="Z154" t="str">
        <f>VLOOKUP(Y154,'Price Table 8 OHB'!A:B,2,FALSE)</f>
        <v>Propulsion - HW procurements</v>
      </c>
      <c r="AC154" s="565"/>
      <c r="AZ154" s="275"/>
    </row>
    <row r="155" spans="1:53">
      <c r="D155" t="s">
        <v>966</v>
      </c>
      <c r="U155" s="16">
        <v>470210</v>
      </c>
      <c r="V155" t="s">
        <v>1045</v>
      </c>
      <c r="W155" t="s">
        <v>966</v>
      </c>
      <c r="Y155" t="s">
        <v>275</v>
      </c>
      <c r="Z155" t="str">
        <f>VLOOKUP(Y155,'Price Table 8 OHB'!A:B,2,FALSE)</f>
        <v>Propulsion - Engineering</v>
      </c>
      <c r="AC155" s="565"/>
      <c r="AZ155" s="275"/>
    </row>
    <row r="156" spans="1:53" ht="15.75" thickBot="1">
      <c r="D156" t="s">
        <v>794</v>
      </c>
      <c r="G156" s="570"/>
      <c r="H156">
        <f t="shared" ref="H156:S156" si="70">H153+H154+H155</f>
        <v>0</v>
      </c>
      <c r="I156">
        <f t="shared" si="70"/>
        <v>0</v>
      </c>
      <c r="J156">
        <f>J153+J154+J155</f>
        <v>29.895964330627645</v>
      </c>
      <c r="K156">
        <f t="shared" si="70"/>
        <v>17.937578598376586</v>
      </c>
      <c r="L156">
        <f t="shared" si="70"/>
        <v>0</v>
      </c>
      <c r="M156">
        <f t="shared" si="70"/>
        <v>0</v>
      </c>
      <c r="N156">
        <f t="shared" si="70"/>
        <v>0</v>
      </c>
      <c r="O156">
        <f t="shared" si="70"/>
        <v>0</v>
      </c>
      <c r="P156">
        <f t="shared" si="70"/>
        <v>0</v>
      </c>
      <c r="Q156">
        <f t="shared" si="70"/>
        <v>0</v>
      </c>
      <c r="R156">
        <f t="shared" si="70"/>
        <v>0</v>
      </c>
      <c r="S156">
        <f t="shared" si="70"/>
        <v>0</v>
      </c>
      <c r="T156">
        <f>SUM(H156:S156)</f>
        <v>47.833542929004231</v>
      </c>
      <c r="U156" s="16"/>
      <c r="W156" t="s">
        <v>794</v>
      </c>
      <c r="AC156" s="567">
        <f>SUM(AC153:AC155)</f>
        <v>0</v>
      </c>
      <c r="AD156" s="265">
        <f t="shared" ref="AD156:AZ156" si="71">SUM(AD153:AD155)</f>
        <v>0</v>
      </c>
      <c r="AE156" s="265">
        <f t="shared" si="71"/>
        <v>0</v>
      </c>
      <c r="AF156" s="265">
        <f t="shared" si="71"/>
        <v>0</v>
      </c>
      <c r="AG156" s="265">
        <f t="shared" si="71"/>
        <v>0</v>
      </c>
      <c r="AH156" s="265">
        <f t="shared" si="71"/>
        <v>14.947982165313823</v>
      </c>
      <c r="AI156" s="265">
        <f t="shared" si="71"/>
        <v>14.947982165313823</v>
      </c>
      <c r="AJ156" s="265">
        <f t="shared" si="71"/>
        <v>8.9687892991882929</v>
      </c>
      <c r="AK156" s="265">
        <f t="shared" si="71"/>
        <v>8.9687892991882929</v>
      </c>
      <c r="AL156" s="265">
        <f t="shared" si="71"/>
        <v>0</v>
      </c>
      <c r="AM156" s="265">
        <f t="shared" si="71"/>
        <v>0</v>
      </c>
      <c r="AN156" s="265">
        <f t="shared" si="71"/>
        <v>0</v>
      </c>
      <c r="AO156" s="265">
        <f t="shared" si="71"/>
        <v>0</v>
      </c>
      <c r="AP156" s="265">
        <f t="shared" si="71"/>
        <v>0</v>
      </c>
      <c r="AQ156" s="265">
        <f t="shared" si="71"/>
        <v>0</v>
      </c>
      <c r="AR156" s="265">
        <f t="shared" si="71"/>
        <v>0</v>
      </c>
      <c r="AS156" s="265">
        <f t="shared" si="71"/>
        <v>0</v>
      </c>
      <c r="AT156" s="265">
        <f t="shared" si="71"/>
        <v>0</v>
      </c>
      <c r="AU156" s="265">
        <f t="shared" si="71"/>
        <v>0</v>
      </c>
      <c r="AV156" s="265">
        <f t="shared" si="71"/>
        <v>0</v>
      </c>
      <c r="AW156" s="265">
        <f t="shared" si="71"/>
        <v>0</v>
      </c>
      <c r="AX156" s="265">
        <f t="shared" si="71"/>
        <v>0</v>
      </c>
      <c r="AY156" s="265">
        <f t="shared" si="71"/>
        <v>0</v>
      </c>
      <c r="AZ156" s="276">
        <f t="shared" si="71"/>
        <v>0</v>
      </c>
      <c r="BA156" s="16">
        <f>SUM(AC156:AZ156)</f>
        <v>47.833542929004231</v>
      </c>
    </row>
    <row r="157" spans="1:53" ht="15.75" thickBot="1">
      <c r="A157" s="90"/>
      <c r="B157" s="91"/>
      <c r="C157" s="90"/>
      <c r="D157" s="90"/>
      <c r="E157" s="90"/>
      <c r="F157" s="90"/>
      <c r="G157" s="90"/>
      <c r="H157" s="90"/>
      <c r="I157" s="90"/>
      <c r="J157" s="90"/>
      <c r="K157" s="90"/>
      <c r="L157" s="90"/>
      <c r="M157" s="90"/>
      <c r="N157" s="90"/>
      <c r="O157" s="90"/>
      <c r="P157" s="90"/>
      <c r="Q157" s="90"/>
      <c r="R157" s="90"/>
      <c r="S157" s="90"/>
      <c r="W157" s="94" t="s">
        <v>1048</v>
      </c>
      <c r="X157" s="94" t="s">
        <v>1040</v>
      </c>
    </row>
    <row r="158" spans="1:53">
      <c r="A158" t="s">
        <v>1049</v>
      </c>
      <c r="D158" t="s">
        <v>791</v>
      </c>
      <c r="K158">
        <v>120</v>
      </c>
      <c r="L158">
        <v>120</v>
      </c>
      <c r="U158" s="16">
        <v>470220</v>
      </c>
      <c r="V158" t="s">
        <v>1050</v>
      </c>
      <c r="W158" t="s">
        <v>791</v>
      </c>
      <c r="AC158" s="563"/>
      <c r="AD158" s="564"/>
      <c r="AE158" s="564"/>
      <c r="AF158" s="568">
        <f>K158/2</f>
        <v>60</v>
      </c>
      <c r="AG158" s="568">
        <f>K158/2</f>
        <v>60</v>
      </c>
      <c r="AH158" s="568">
        <f>L158/2</f>
        <v>60</v>
      </c>
      <c r="AI158" s="568">
        <f>L158/2</f>
        <v>60</v>
      </c>
      <c r="AJ158" s="564"/>
      <c r="AK158" s="564"/>
      <c r="AL158" s="564"/>
      <c r="AM158" s="564"/>
      <c r="AN158" s="564"/>
      <c r="AO158" s="564"/>
      <c r="AP158" s="564"/>
      <c r="AQ158" s="564"/>
      <c r="AR158" s="564"/>
      <c r="AS158" s="564"/>
      <c r="AT158" s="564"/>
      <c r="AU158" s="564"/>
      <c r="AV158" s="564"/>
      <c r="AW158" s="564"/>
      <c r="AX158" s="564"/>
      <c r="AY158" s="564"/>
      <c r="AZ158" s="274"/>
    </row>
    <row r="159" spans="1:53">
      <c r="A159" t="s">
        <v>1051</v>
      </c>
      <c r="D159" t="s">
        <v>792</v>
      </c>
      <c r="H159">
        <f>H158*N30*0.001</f>
        <v>0</v>
      </c>
      <c r="I159">
        <f>I158*N30*0.001</f>
        <v>0</v>
      </c>
      <c r="J159">
        <f>J158*N30*0.001</f>
        <v>0</v>
      </c>
      <c r="K159">
        <f>K158*N30*0.001</f>
        <v>11.958385732251058</v>
      </c>
      <c r="L159">
        <f>L158*N30*0.001</f>
        <v>11.958385732251058</v>
      </c>
      <c r="M159">
        <f>M158*N30*0.001</f>
        <v>0</v>
      </c>
      <c r="N159">
        <f>N158*N30*0.001</f>
        <v>0</v>
      </c>
      <c r="O159">
        <f>O158*N30*0.001</f>
        <v>0</v>
      </c>
      <c r="P159">
        <f>P158*N30*0.001</f>
        <v>0</v>
      </c>
      <c r="Q159">
        <f>Q158*N30*0.001</f>
        <v>0</v>
      </c>
      <c r="R159">
        <f>R158*N30*0.001</f>
        <v>0</v>
      </c>
      <c r="S159">
        <f>S158*N30*0.001</f>
        <v>0</v>
      </c>
      <c r="U159" s="16">
        <v>470220</v>
      </c>
      <c r="V159" t="s">
        <v>1050</v>
      </c>
      <c r="W159" t="s">
        <v>792</v>
      </c>
      <c r="Y159" t="s">
        <v>275</v>
      </c>
      <c r="Z159" t="str">
        <f>VLOOKUP(Y159,'Price Table 8 OHB'!A:B,2,FALSE)</f>
        <v>Propulsion - Engineering</v>
      </c>
      <c r="AC159" s="565">
        <f>AC158*$N$30*0.001</f>
        <v>0</v>
      </c>
      <c r="AD159">
        <f t="shared" ref="AD159:AZ159" si="72">AD158*$N$30*0.001</f>
        <v>0</v>
      </c>
      <c r="AE159">
        <f t="shared" si="72"/>
        <v>0</v>
      </c>
      <c r="AF159">
        <f t="shared" si="72"/>
        <v>5.9791928661255289</v>
      </c>
      <c r="AG159">
        <f t="shared" si="72"/>
        <v>5.9791928661255289</v>
      </c>
      <c r="AH159">
        <f t="shared" si="72"/>
        <v>5.9791928661255289</v>
      </c>
      <c r="AI159">
        <f t="shared" si="72"/>
        <v>5.9791928661255289</v>
      </c>
      <c r="AJ159">
        <f t="shared" si="72"/>
        <v>0</v>
      </c>
      <c r="AK159">
        <f t="shared" si="72"/>
        <v>0</v>
      </c>
      <c r="AL159">
        <f t="shared" si="72"/>
        <v>0</v>
      </c>
      <c r="AM159">
        <f t="shared" si="72"/>
        <v>0</v>
      </c>
      <c r="AN159">
        <f t="shared" si="72"/>
        <v>0</v>
      </c>
      <c r="AO159">
        <f t="shared" si="72"/>
        <v>0</v>
      </c>
      <c r="AP159">
        <f t="shared" si="72"/>
        <v>0</v>
      </c>
      <c r="AQ159">
        <f t="shared" si="72"/>
        <v>0</v>
      </c>
      <c r="AR159">
        <f t="shared" si="72"/>
        <v>0</v>
      </c>
      <c r="AS159">
        <f t="shared" si="72"/>
        <v>0</v>
      </c>
      <c r="AT159">
        <f t="shared" si="72"/>
        <v>0</v>
      </c>
      <c r="AU159">
        <f t="shared" si="72"/>
        <v>0</v>
      </c>
      <c r="AV159">
        <f t="shared" si="72"/>
        <v>0</v>
      </c>
      <c r="AW159">
        <f t="shared" si="72"/>
        <v>0</v>
      </c>
      <c r="AX159">
        <f t="shared" si="72"/>
        <v>0</v>
      </c>
      <c r="AY159">
        <f t="shared" si="72"/>
        <v>0</v>
      </c>
      <c r="AZ159" s="275">
        <f t="shared" si="72"/>
        <v>0</v>
      </c>
    </row>
    <row r="160" spans="1:53">
      <c r="A160" t="s">
        <v>1052</v>
      </c>
      <c r="D160" t="s">
        <v>793</v>
      </c>
      <c r="U160" s="16">
        <v>470220</v>
      </c>
      <c r="V160" t="s">
        <v>1050</v>
      </c>
      <c r="W160" t="s">
        <v>793</v>
      </c>
      <c r="Y160" t="s">
        <v>596</v>
      </c>
      <c r="Z160" t="str">
        <f>VLOOKUP(Y160,'Price Table 8 OHB'!A:B,2,FALSE)</f>
        <v>Propulsion - HW procurements</v>
      </c>
      <c r="AC160" s="565"/>
      <c r="AZ160" s="275"/>
    </row>
    <row r="161" spans="1:53">
      <c r="D161" t="s">
        <v>1053</v>
      </c>
      <c r="U161" s="16">
        <v>470220</v>
      </c>
      <c r="V161" t="s">
        <v>1050</v>
      </c>
      <c r="W161" t="s">
        <v>966</v>
      </c>
      <c r="Y161" t="s">
        <v>275</v>
      </c>
      <c r="Z161" t="str">
        <f>VLOOKUP(Y161,'Price Table 8 OHB'!A:B,2,FALSE)</f>
        <v>Propulsion - Engineering</v>
      </c>
      <c r="AC161" s="565"/>
      <c r="AZ161" s="275"/>
    </row>
    <row r="162" spans="1:53" ht="15.75" thickBot="1">
      <c r="D162" t="s">
        <v>794</v>
      </c>
      <c r="G162" s="570"/>
      <c r="H162">
        <f t="shared" ref="H162:S162" si="73">H159+H160+H161</f>
        <v>0</v>
      </c>
      <c r="I162">
        <f t="shared" si="73"/>
        <v>0</v>
      </c>
      <c r="J162">
        <f>J159+J160+J161</f>
        <v>0</v>
      </c>
      <c r="K162">
        <f t="shared" si="73"/>
        <v>11.958385732251058</v>
      </c>
      <c r="L162">
        <f t="shared" si="73"/>
        <v>11.958385732251058</v>
      </c>
      <c r="M162">
        <f t="shared" si="73"/>
        <v>0</v>
      </c>
      <c r="N162">
        <f t="shared" si="73"/>
        <v>0</v>
      </c>
      <c r="O162">
        <f t="shared" si="73"/>
        <v>0</v>
      </c>
      <c r="P162">
        <f t="shared" si="73"/>
        <v>0</v>
      </c>
      <c r="Q162">
        <f t="shared" si="73"/>
        <v>0</v>
      </c>
      <c r="R162">
        <f t="shared" si="73"/>
        <v>0</v>
      </c>
      <c r="S162">
        <f t="shared" si="73"/>
        <v>0</v>
      </c>
      <c r="T162">
        <f>SUM(H162:S162)</f>
        <v>23.916771464502116</v>
      </c>
      <c r="U162" s="16"/>
      <c r="W162" t="s">
        <v>794</v>
      </c>
      <c r="AC162" s="567">
        <f>SUM(AC159:AC161)</f>
        <v>0</v>
      </c>
      <c r="AD162" s="265">
        <f t="shared" ref="AD162:AZ162" si="74">SUM(AD159:AD161)</f>
        <v>0</v>
      </c>
      <c r="AE162" s="265">
        <f t="shared" si="74"/>
        <v>0</v>
      </c>
      <c r="AF162" s="265">
        <f t="shared" si="74"/>
        <v>5.9791928661255289</v>
      </c>
      <c r="AG162" s="265">
        <f t="shared" si="74"/>
        <v>5.9791928661255289</v>
      </c>
      <c r="AH162" s="265">
        <f t="shared" si="74"/>
        <v>5.9791928661255289</v>
      </c>
      <c r="AI162" s="265">
        <f t="shared" si="74"/>
        <v>5.9791928661255289</v>
      </c>
      <c r="AJ162" s="265">
        <f t="shared" si="74"/>
        <v>0</v>
      </c>
      <c r="AK162" s="265">
        <f t="shared" si="74"/>
        <v>0</v>
      </c>
      <c r="AL162" s="265">
        <f t="shared" si="74"/>
        <v>0</v>
      </c>
      <c r="AM162" s="265">
        <f t="shared" si="74"/>
        <v>0</v>
      </c>
      <c r="AN162" s="265">
        <f t="shared" si="74"/>
        <v>0</v>
      </c>
      <c r="AO162" s="265">
        <f t="shared" si="74"/>
        <v>0</v>
      </c>
      <c r="AP162" s="265">
        <f t="shared" si="74"/>
        <v>0</v>
      </c>
      <c r="AQ162" s="265">
        <f t="shared" si="74"/>
        <v>0</v>
      </c>
      <c r="AR162" s="265">
        <f t="shared" si="74"/>
        <v>0</v>
      </c>
      <c r="AS162" s="265">
        <f t="shared" si="74"/>
        <v>0</v>
      </c>
      <c r="AT162" s="265">
        <f t="shared" si="74"/>
        <v>0</v>
      </c>
      <c r="AU162" s="265">
        <f t="shared" si="74"/>
        <v>0</v>
      </c>
      <c r="AV162" s="265">
        <f t="shared" si="74"/>
        <v>0</v>
      </c>
      <c r="AW162" s="265">
        <f t="shared" si="74"/>
        <v>0</v>
      </c>
      <c r="AX162" s="265">
        <f t="shared" si="74"/>
        <v>0</v>
      </c>
      <c r="AY162" s="265">
        <f t="shared" si="74"/>
        <v>0</v>
      </c>
      <c r="AZ162" s="276">
        <f t="shared" si="74"/>
        <v>0</v>
      </c>
      <c r="BA162" s="16">
        <f>SUM(AC162:AZ162)</f>
        <v>23.916771464502116</v>
      </c>
    </row>
    <row r="163" spans="1:53" ht="15.75" thickBot="1">
      <c r="A163" s="90"/>
      <c r="B163" s="91"/>
      <c r="C163" s="90"/>
      <c r="D163" s="90"/>
      <c r="E163" s="90"/>
      <c r="F163" s="90"/>
      <c r="G163" s="90"/>
      <c r="H163" s="90"/>
      <c r="I163" s="90"/>
      <c r="J163" s="90"/>
      <c r="K163" s="90"/>
      <c r="L163" s="90"/>
      <c r="M163" s="90"/>
      <c r="N163" s="90"/>
      <c r="O163" s="90"/>
      <c r="P163" s="90"/>
      <c r="Q163" s="90"/>
      <c r="R163" s="90"/>
      <c r="S163" s="90"/>
      <c r="W163" s="94" t="s">
        <v>1054</v>
      </c>
      <c r="X163" s="94" t="s">
        <v>1040</v>
      </c>
    </row>
    <row r="164" spans="1:53">
      <c r="A164" t="s">
        <v>1055</v>
      </c>
      <c r="D164" t="s">
        <v>791</v>
      </c>
      <c r="J164">
        <v>480</v>
      </c>
      <c r="K164">
        <v>240</v>
      </c>
      <c r="U164" s="16">
        <v>470230</v>
      </c>
      <c r="V164" t="s">
        <v>1056</v>
      </c>
      <c r="W164" t="s">
        <v>791</v>
      </c>
      <c r="AC164" s="563"/>
      <c r="AD164" s="564"/>
      <c r="AE164" s="564"/>
      <c r="AF164" s="564"/>
      <c r="AG164" s="564"/>
      <c r="AH164" s="568">
        <f>J164/2</f>
        <v>240</v>
      </c>
      <c r="AI164" s="568">
        <f>J164/2</f>
        <v>240</v>
      </c>
      <c r="AJ164" s="568">
        <f>K164/2</f>
        <v>120</v>
      </c>
      <c r="AK164" s="568">
        <f>K164/2</f>
        <v>120</v>
      </c>
      <c r="AL164" s="564"/>
      <c r="AM164" s="564"/>
      <c r="AN164" s="564"/>
      <c r="AO164" s="564"/>
      <c r="AP164" s="564"/>
      <c r="AQ164" s="564"/>
      <c r="AR164" s="564"/>
      <c r="AS164" s="564"/>
      <c r="AT164" s="564"/>
      <c r="AU164" s="564"/>
      <c r="AV164" s="564"/>
      <c r="AW164" s="564"/>
      <c r="AX164" s="564"/>
      <c r="AY164" s="564"/>
      <c r="AZ164" s="274"/>
    </row>
    <row r="165" spans="1:53">
      <c r="A165" t="s">
        <v>1056</v>
      </c>
      <c r="D165" t="s">
        <v>792</v>
      </c>
      <c r="H165">
        <f>H164*N30*0.001</f>
        <v>0</v>
      </c>
      <c r="I165">
        <f>I164*N30*0.001</f>
        <v>0</v>
      </c>
      <c r="J165">
        <f>J164*N30*0.001</f>
        <v>47.833542929004231</v>
      </c>
      <c r="K165">
        <f>K164*N30*0.001</f>
        <v>23.916771464502116</v>
      </c>
      <c r="L165">
        <f>L164*N30*0.001</f>
        <v>0</v>
      </c>
      <c r="M165">
        <f>M164*N30*0.001</f>
        <v>0</v>
      </c>
      <c r="N165">
        <f>N164*N30*0.001</f>
        <v>0</v>
      </c>
      <c r="O165">
        <f>O164*N30*0.001</f>
        <v>0</v>
      </c>
      <c r="P165">
        <f>P164*N30*0.001</f>
        <v>0</v>
      </c>
      <c r="Q165">
        <f>Q164*N30*0.001</f>
        <v>0</v>
      </c>
      <c r="R165">
        <f>R164*N30*0.001</f>
        <v>0</v>
      </c>
      <c r="S165">
        <f>S164*N30*0.001</f>
        <v>0</v>
      </c>
      <c r="U165" s="16">
        <v>470230</v>
      </c>
      <c r="V165" t="s">
        <v>1056</v>
      </c>
      <c r="W165" t="s">
        <v>792</v>
      </c>
      <c r="Y165" t="s">
        <v>275</v>
      </c>
      <c r="Z165" t="str">
        <f>VLOOKUP(Y165,'Price Table 8 OHB'!A:B,2,FALSE)</f>
        <v>Propulsion - Engineering</v>
      </c>
      <c r="AC165" s="565">
        <f>AC164*$N$30*0.001</f>
        <v>0</v>
      </c>
      <c r="AD165">
        <f t="shared" ref="AD165:AZ165" si="75">AD164*$N$30*0.001</f>
        <v>0</v>
      </c>
      <c r="AE165">
        <f t="shared" si="75"/>
        <v>0</v>
      </c>
      <c r="AF165">
        <f t="shared" si="75"/>
        <v>0</v>
      </c>
      <c r="AG165">
        <f t="shared" si="75"/>
        <v>0</v>
      </c>
      <c r="AH165">
        <f t="shared" si="75"/>
        <v>23.916771464502116</v>
      </c>
      <c r="AI165">
        <f t="shared" si="75"/>
        <v>23.916771464502116</v>
      </c>
      <c r="AJ165">
        <f t="shared" si="75"/>
        <v>11.958385732251058</v>
      </c>
      <c r="AK165">
        <f t="shared" si="75"/>
        <v>11.958385732251058</v>
      </c>
      <c r="AL165">
        <f t="shared" si="75"/>
        <v>0</v>
      </c>
      <c r="AM165">
        <f t="shared" si="75"/>
        <v>0</v>
      </c>
      <c r="AN165">
        <f t="shared" si="75"/>
        <v>0</v>
      </c>
      <c r="AO165">
        <f t="shared" si="75"/>
        <v>0</v>
      </c>
      <c r="AP165">
        <f t="shared" si="75"/>
        <v>0</v>
      </c>
      <c r="AQ165">
        <f t="shared" si="75"/>
        <v>0</v>
      </c>
      <c r="AR165">
        <f t="shared" si="75"/>
        <v>0</v>
      </c>
      <c r="AS165">
        <f t="shared" si="75"/>
        <v>0</v>
      </c>
      <c r="AT165">
        <f t="shared" si="75"/>
        <v>0</v>
      </c>
      <c r="AU165">
        <f t="shared" si="75"/>
        <v>0</v>
      </c>
      <c r="AV165">
        <f t="shared" si="75"/>
        <v>0</v>
      </c>
      <c r="AW165">
        <f t="shared" si="75"/>
        <v>0</v>
      </c>
      <c r="AX165">
        <f t="shared" si="75"/>
        <v>0</v>
      </c>
      <c r="AY165">
        <f t="shared" si="75"/>
        <v>0</v>
      </c>
      <c r="AZ165" s="275">
        <f t="shared" si="75"/>
        <v>0</v>
      </c>
    </row>
    <row r="166" spans="1:53">
      <c r="D166" t="s">
        <v>793</v>
      </c>
      <c r="U166" s="16">
        <v>470230</v>
      </c>
      <c r="V166" t="s">
        <v>1056</v>
      </c>
      <c r="W166" t="s">
        <v>793</v>
      </c>
      <c r="Y166" t="s">
        <v>596</v>
      </c>
      <c r="Z166" t="str">
        <f>VLOOKUP(Y166,'Price Table 8 OHB'!A:B,2,FALSE)</f>
        <v>Propulsion - HW procurements</v>
      </c>
      <c r="AC166" s="565"/>
      <c r="AZ166" s="275"/>
    </row>
    <row r="167" spans="1:53">
      <c r="D167" t="s">
        <v>966</v>
      </c>
      <c r="U167" s="16">
        <v>470230</v>
      </c>
      <c r="V167" t="s">
        <v>1056</v>
      </c>
      <c r="W167" t="s">
        <v>966</v>
      </c>
      <c r="Y167" t="s">
        <v>275</v>
      </c>
      <c r="Z167" t="str">
        <f>VLOOKUP(Y167,'Price Table 8 OHB'!A:B,2,FALSE)</f>
        <v>Propulsion - Engineering</v>
      </c>
      <c r="AC167" s="565"/>
      <c r="AZ167" s="275"/>
    </row>
    <row r="168" spans="1:53" ht="15.75" thickBot="1">
      <c r="D168" t="s">
        <v>794</v>
      </c>
      <c r="G168" s="570"/>
      <c r="H168">
        <f t="shared" ref="H168:S168" si="76">H165+H166+H167</f>
        <v>0</v>
      </c>
      <c r="I168">
        <f t="shared" si="76"/>
        <v>0</v>
      </c>
      <c r="J168">
        <f>J165+J166+J167</f>
        <v>47.833542929004231</v>
      </c>
      <c r="K168">
        <f t="shared" si="76"/>
        <v>23.916771464502116</v>
      </c>
      <c r="L168">
        <f t="shared" si="76"/>
        <v>0</v>
      </c>
      <c r="M168">
        <f t="shared" si="76"/>
        <v>0</v>
      </c>
      <c r="N168">
        <f t="shared" si="76"/>
        <v>0</v>
      </c>
      <c r="O168">
        <f t="shared" si="76"/>
        <v>0</v>
      </c>
      <c r="P168">
        <f t="shared" si="76"/>
        <v>0</v>
      </c>
      <c r="Q168">
        <f t="shared" si="76"/>
        <v>0</v>
      </c>
      <c r="R168">
        <f t="shared" si="76"/>
        <v>0</v>
      </c>
      <c r="S168">
        <f t="shared" si="76"/>
        <v>0</v>
      </c>
      <c r="T168">
        <f>SUM(H168:S168)</f>
        <v>71.750314393506343</v>
      </c>
      <c r="U168" s="16"/>
      <c r="W168" t="s">
        <v>794</v>
      </c>
      <c r="AC168" s="567">
        <f>SUM(AC165:AC167)</f>
        <v>0</v>
      </c>
      <c r="AD168" s="265">
        <f t="shared" ref="AD168:AZ168" si="77">SUM(AD165:AD167)</f>
        <v>0</v>
      </c>
      <c r="AE168" s="265">
        <f t="shared" si="77"/>
        <v>0</v>
      </c>
      <c r="AF168" s="265">
        <f t="shared" si="77"/>
        <v>0</v>
      </c>
      <c r="AG168" s="265">
        <f t="shared" si="77"/>
        <v>0</v>
      </c>
      <c r="AH168" s="265">
        <f t="shared" si="77"/>
        <v>23.916771464502116</v>
      </c>
      <c r="AI168" s="265">
        <f t="shared" si="77"/>
        <v>23.916771464502116</v>
      </c>
      <c r="AJ168" s="265">
        <f t="shared" si="77"/>
        <v>11.958385732251058</v>
      </c>
      <c r="AK168" s="265">
        <f t="shared" si="77"/>
        <v>11.958385732251058</v>
      </c>
      <c r="AL168" s="265">
        <f t="shared" si="77"/>
        <v>0</v>
      </c>
      <c r="AM168" s="265">
        <f t="shared" si="77"/>
        <v>0</v>
      </c>
      <c r="AN168" s="265">
        <f t="shared" si="77"/>
        <v>0</v>
      </c>
      <c r="AO168" s="265">
        <f t="shared" si="77"/>
        <v>0</v>
      </c>
      <c r="AP168" s="265">
        <f t="shared" si="77"/>
        <v>0</v>
      </c>
      <c r="AQ168" s="265">
        <f t="shared" si="77"/>
        <v>0</v>
      </c>
      <c r="AR168" s="265">
        <f t="shared" si="77"/>
        <v>0</v>
      </c>
      <c r="AS168" s="265">
        <f t="shared" si="77"/>
        <v>0</v>
      </c>
      <c r="AT168" s="265">
        <f t="shared" si="77"/>
        <v>0</v>
      </c>
      <c r="AU168" s="265">
        <f t="shared" si="77"/>
        <v>0</v>
      </c>
      <c r="AV168" s="265">
        <f t="shared" si="77"/>
        <v>0</v>
      </c>
      <c r="AW168" s="265">
        <f t="shared" si="77"/>
        <v>0</v>
      </c>
      <c r="AX168" s="265">
        <f t="shared" si="77"/>
        <v>0</v>
      </c>
      <c r="AY168" s="265">
        <f t="shared" si="77"/>
        <v>0</v>
      </c>
      <c r="AZ168" s="276">
        <f t="shared" si="77"/>
        <v>0</v>
      </c>
      <c r="BA168" s="16">
        <f>SUM(AC168:AZ168)</f>
        <v>71.750314393506343</v>
      </c>
    </row>
    <row r="169" spans="1:53" ht="15.75" thickBot="1">
      <c r="A169" s="90"/>
      <c r="B169" s="91"/>
      <c r="C169" s="90"/>
      <c r="D169" s="90"/>
      <c r="E169" s="90"/>
      <c r="F169" s="90"/>
      <c r="G169" s="90"/>
      <c r="H169" s="90"/>
      <c r="I169" s="90"/>
      <c r="J169" s="90"/>
      <c r="K169" s="90"/>
      <c r="L169" s="90"/>
      <c r="M169" s="90"/>
      <c r="N169" s="90"/>
      <c r="O169" s="90"/>
      <c r="P169" s="90"/>
      <c r="Q169" s="90"/>
      <c r="R169" s="90"/>
      <c r="S169" s="90"/>
      <c r="W169" s="94" t="s">
        <v>1057</v>
      </c>
      <c r="X169" s="94" t="s">
        <v>1040</v>
      </c>
    </row>
    <row r="170" spans="1:53">
      <c r="A170" t="s">
        <v>1058</v>
      </c>
      <c r="D170" t="s">
        <v>791</v>
      </c>
      <c r="L170">
        <v>1560</v>
      </c>
      <c r="U170" s="16">
        <v>470300</v>
      </c>
      <c r="V170" t="s">
        <v>1059</v>
      </c>
      <c r="W170" t="s">
        <v>791</v>
      </c>
      <c r="AC170" s="563"/>
      <c r="AD170" s="564"/>
      <c r="AE170" s="564"/>
      <c r="AF170" s="564"/>
      <c r="AG170" s="564"/>
      <c r="AH170" s="568">
        <f>L170/3</f>
        <v>520</v>
      </c>
      <c r="AI170" s="568">
        <f>L170/3</f>
        <v>520</v>
      </c>
      <c r="AJ170" s="568">
        <f>L170/3</f>
        <v>520</v>
      </c>
      <c r="AK170" s="564"/>
      <c r="AL170" s="564"/>
      <c r="AM170" s="564"/>
      <c r="AN170" s="564"/>
      <c r="AO170" s="564"/>
      <c r="AP170" s="564"/>
      <c r="AQ170" s="564"/>
      <c r="AR170" s="564"/>
      <c r="AS170" s="564"/>
      <c r="AT170" s="564"/>
      <c r="AU170" s="564"/>
      <c r="AV170" s="564"/>
      <c r="AW170" s="564"/>
      <c r="AX170" s="564"/>
      <c r="AY170" s="564"/>
      <c r="AZ170" s="274"/>
    </row>
    <row r="171" spans="1:53">
      <c r="A171" t="s">
        <v>1060</v>
      </c>
      <c r="D171" t="s">
        <v>792</v>
      </c>
      <c r="H171">
        <f>H170*N30*0.001</f>
        <v>0</v>
      </c>
      <c r="I171">
        <f>I170*N30*0.001</f>
        <v>0</v>
      </c>
      <c r="J171">
        <f>J170*N30*0.001</f>
        <v>0</v>
      </c>
      <c r="K171">
        <f>K170*N30*0.001</f>
        <v>0</v>
      </c>
      <c r="L171">
        <f>L170*N30*0.001</f>
        <v>155.45901451926375</v>
      </c>
      <c r="M171">
        <f>M170*N30*0.001</f>
        <v>0</v>
      </c>
      <c r="N171">
        <f>N170*N30*0.001</f>
        <v>0</v>
      </c>
      <c r="O171">
        <f>O170*N30*0.001</f>
        <v>0</v>
      </c>
      <c r="P171">
        <f>P170*N30*0.001</f>
        <v>0</v>
      </c>
      <c r="Q171">
        <f>Q170*N30*0.001</f>
        <v>0</v>
      </c>
      <c r="R171">
        <f>R170*N30*0.001</f>
        <v>0</v>
      </c>
      <c r="S171">
        <f>S170*N30*0.001</f>
        <v>0</v>
      </c>
      <c r="U171" s="16">
        <v>470300</v>
      </c>
      <c r="V171" t="s">
        <v>1059</v>
      </c>
      <c r="W171" t="s">
        <v>792</v>
      </c>
      <c r="Y171" t="s">
        <v>275</v>
      </c>
      <c r="Z171" t="str">
        <f>VLOOKUP(Y171,'Price Table 8 OHB'!A:B,2,FALSE)</f>
        <v>Propulsion - Engineering</v>
      </c>
      <c r="AC171" s="565">
        <f>AC170*$N$30*0.001</f>
        <v>0</v>
      </c>
      <c r="AD171">
        <f t="shared" ref="AD171:AZ171" si="78">AD170*$N$30*0.001</f>
        <v>0</v>
      </c>
      <c r="AE171">
        <f t="shared" si="78"/>
        <v>0</v>
      </c>
      <c r="AF171">
        <f t="shared" si="78"/>
        <v>0</v>
      </c>
      <c r="AG171">
        <f t="shared" si="78"/>
        <v>0</v>
      </c>
      <c r="AH171">
        <f t="shared" si="78"/>
        <v>51.819671506421251</v>
      </c>
      <c r="AI171">
        <f t="shared" si="78"/>
        <v>51.819671506421251</v>
      </c>
      <c r="AJ171">
        <f t="shared" si="78"/>
        <v>51.819671506421251</v>
      </c>
      <c r="AK171">
        <f t="shared" si="78"/>
        <v>0</v>
      </c>
      <c r="AL171">
        <f t="shared" si="78"/>
        <v>0</v>
      </c>
      <c r="AM171">
        <f t="shared" si="78"/>
        <v>0</v>
      </c>
      <c r="AN171">
        <f t="shared" si="78"/>
        <v>0</v>
      </c>
      <c r="AO171">
        <f t="shared" si="78"/>
        <v>0</v>
      </c>
      <c r="AP171">
        <f t="shared" si="78"/>
        <v>0</v>
      </c>
      <c r="AQ171">
        <f t="shared" si="78"/>
        <v>0</v>
      </c>
      <c r="AR171">
        <f t="shared" si="78"/>
        <v>0</v>
      </c>
      <c r="AS171">
        <f t="shared" si="78"/>
        <v>0</v>
      </c>
      <c r="AT171">
        <f t="shared" si="78"/>
        <v>0</v>
      </c>
      <c r="AU171">
        <f t="shared" si="78"/>
        <v>0</v>
      </c>
      <c r="AV171">
        <f t="shared" si="78"/>
        <v>0</v>
      </c>
      <c r="AW171">
        <f t="shared" si="78"/>
        <v>0</v>
      </c>
      <c r="AX171">
        <f t="shared" si="78"/>
        <v>0</v>
      </c>
      <c r="AY171">
        <f t="shared" si="78"/>
        <v>0</v>
      </c>
      <c r="AZ171" s="275">
        <f t="shared" si="78"/>
        <v>0</v>
      </c>
    </row>
    <row r="172" spans="1:53">
      <c r="A172" t="s">
        <v>1061</v>
      </c>
      <c r="D172" t="s">
        <v>793</v>
      </c>
      <c r="L172">
        <v>105</v>
      </c>
      <c r="U172" s="16">
        <v>470300</v>
      </c>
      <c r="V172" t="s">
        <v>1059</v>
      </c>
      <c r="W172" t="s">
        <v>793</v>
      </c>
      <c r="Y172" t="s">
        <v>596</v>
      </c>
      <c r="Z172" t="str">
        <f>VLOOKUP(Y172,'Price Table 8 OHB'!A:B,2,FALSE)</f>
        <v>Propulsion - HW procurements</v>
      </c>
      <c r="AC172" s="565"/>
      <c r="AH172">
        <f>L172</f>
        <v>105</v>
      </c>
      <c r="AZ172" s="275"/>
    </row>
    <row r="173" spans="1:53">
      <c r="D173" t="s">
        <v>966</v>
      </c>
      <c r="U173" s="16">
        <v>470300</v>
      </c>
      <c r="V173" t="s">
        <v>1059</v>
      </c>
      <c r="W173" t="s">
        <v>966</v>
      </c>
      <c r="Y173" t="s">
        <v>275</v>
      </c>
      <c r="Z173" t="str">
        <f>VLOOKUP(Y173,'Price Table 8 OHB'!A:B,2,FALSE)</f>
        <v>Propulsion - Engineering</v>
      </c>
      <c r="AC173" s="565"/>
      <c r="AZ173" s="275"/>
    </row>
    <row r="174" spans="1:53" ht="15.75" thickBot="1">
      <c r="D174" t="s">
        <v>794</v>
      </c>
      <c r="G174" s="570"/>
      <c r="H174">
        <f>H171+H172+H173</f>
        <v>0</v>
      </c>
      <c r="I174">
        <f>I171+I172+I173</f>
        <v>0</v>
      </c>
      <c r="J174">
        <f>J171+J172+J173</f>
        <v>0</v>
      </c>
      <c r="K174">
        <f>K161+K172+K173</f>
        <v>0</v>
      </c>
      <c r="L174">
        <f t="shared" ref="L174:S174" si="79">L171+L172+L173</f>
        <v>260.45901451926375</v>
      </c>
      <c r="M174">
        <f t="shared" si="79"/>
        <v>0</v>
      </c>
      <c r="N174">
        <f t="shared" si="79"/>
        <v>0</v>
      </c>
      <c r="O174">
        <f t="shared" si="79"/>
        <v>0</v>
      </c>
      <c r="P174">
        <f t="shared" si="79"/>
        <v>0</v>
      </c>
      <c r="Q174">
        <f t="shared" si="79"/>
        <v>0</v>
      </c>
      <c r="R174">
        <f t="shared" si="79"/>
        <v>0</v>
      </c>
      <c r="S174">
        <f t="shared" si="79"/>
        <v>0</v>
      </c>
      <c r="T174">
        <f>SUM(H174:S174)</f>
        <v>260.45901451926375</v>
      </c>
      <c r="U174" s="16"/>
      <c r="W174" t="s">
        <v>794</v>
      </c>
      <c r="AC174" s="567">
        <f>SUM(AC171:AC173)</f>
        <v>0</v>
      </c>
      <c r="AD174" s="265">
        <f t="shared" ref="AD174:AZ174" si="80">SUM(AD171:AD173)</f>
        <v>0</v>
      </c>
      <c r="AE174" s="265">
        <f t="shared" si="80"/>
        <v>0</v>
      </c>
      <c r="AF174" s="265">
        <f t="shared" si="80"/>
        <v>0</v>
      </c>
      <c r="AG174" s="265">
        <f t="shared" si="80"/>
        <v>0</v>
      </c>
      <c r="AH174" s="265">
        <f t="shared" si="80"/>
        <v>156.81967150642126</v>
      </c>
      <c r="AI174" s="265">
        <f t="shared" si="80"/>
        <v>51.819671506421251</v>
      </c>
      <c r="AJ174" s="265">
        <f t="shared" si="80"/>
        <v>51.819671506421251</v>
      </c>
      <c r="AK174" s="265">
        <f t="shared" si="80"/>
        <v>0</v>
      </c>
      <c r="AL174" s="265">
        <f t="shared" si="80"/>
        <v>0</v>
      </c>
      <c r="AM174" s="265">
        <f t="shared" si="80"/>
        <v>0</v>
      </c>
      <c r="AN174" s="265">
        <f t="shared" si="80"/>
        <v>0</v>
      </c>
      <c r="AO174" s="265">
        <f t="shared" si="80"/>
        <v>0</v>
      </c>
      <c r="AP174" s="265">
        <f t="shared" si="80"/>
        <v>0</v>
      </c>
      <c r="AQ174" s="265">
        <f t="shared" si="80"/>
        <v>0</v>
      </c>
      <c r="AR174" s="265">
        <f t="shared" si="80"/>
        <v>0</v>
      </c>
      <c r="AS174" s="265">
        <f t="shared" si="80"/>
        <v>0</v>
      </c>
      <c r="AT174" s="265">
        <f t="shared" si="80"/>
        <v>0</v>
      </c>
      <c r="AU174" s="265">
        <f t="shared" si="80"/>
        <v>0</v>
      </c>
      <c r="AV174" s="265">
        <f t="shared" si="80"/>
        <v>0</v>
      </c>
      <c r="AW174" s="265">
        <f t="shared" si="80"/>
        <v>0</v>
      </c>
      <c r="AX174" s="265">
        <f t="shared" si="80"/>
        <v>0</v>
      </c>
      <c r="AY174" s="265">
        <f t="shared" si="80"/>
        <v>0</v>
      </c>
      <c r="AZ174" s="276">
        <f t="shared" si="80"/>
        <v>0</v>
      </c>
      <c r="BA174" s="16">
        <f>SUM(AC174:AZ174)</f>
        <v>260.45901451926375</v>
      </c>
    </row>
    <row r="175" spans="1:53" ht="15.75" thickBot="1">
      <c r="A175" s="90"/>
      <c r="B175" s="91"/>
      <c r="C175" s="90"/>
      <c r="D175" s="90"/>
      <c r="E175" s="90"/>
      <c r="F175" s="90"/>
      <c r="G175" s="90"/>
      <c r="H175" s="90"/>
      <c r="I175" s="90"/>
      <c r="J175" s="90"/>
      <c r="K175" s="90"/>
      <c r="L175" s="90"/>
      <c r="M175" s="90"/>
      <c r="N175" s="90"/>
      <c r="O175" s="90"/>
      <c r="P175" s="90"/>
      <c r="Q175" s="90"/>
      <c r="R175" s="90"/>
      <c r="S175" s="90"/>
      <c r="W175" s="94" t="s">
        <v>1062</v>
      </c>
      <c r="X175" s="94" t="s">
        <v>1040</v>
      </c>
    </row>
    <row r="176" spans="1:53">
      <c r="A176" t="s">
        <v>1063</v>
      </c>
      <c r="D176" t="s">
        <v>791</v>
      </c>
      <c r="L176">
        <v>240</v>
      </c>
      <c r="U176" s="16">
        <v>470410</v>
      </c>
      <c r="V176" t="s">
        <v>1064</v>
      </c>
      <c r="W176" t="s">
        <v>791</v>
      </c>
      <c r="AC176" s="563"/>
      <c r="AD176" s="564"/>
      <c r="AE176" s="564"/>
      <c r="AF176" s="564"/>
      <c r="AG176" s="564"/>
      <c r="AH176" s="564"/>
      <c r="AI176" s="564"/>
      <c r="AJ176" s="564"/>
      <c r="AK176" s="564"/>
      <c r="AL176" s="568">
        <f>L176</f>
        <v>240</v>
      </c>
      <c r="AM176" s="564"/>
      <c r="AN176" s="564"/>
      <c r="AO176" s="564"/>
      <c r="AP176" s="564"/>
      <c r="AQ176" s="564"/>
      <c r="AR176" s="564"/>
      <c r="AS176" s="564"/>
      <c r="AT176" s="564"/>
      <c r="AU176" s="564"/>
      <c r="AV176" s="564"/>
      <c r="AW176" s="564"/>
      <c r="AX176" s="564"/>
      <c r="AY176" s="564"/>
      <c r="AZ176" s="274"/>
    </row>
    <row r="177" spans="1:53">
      <c r="A177" t="s">
        <v>1065</v>
      </c>
      <c r="D177" t="s">
        <v>792</v>
      </c>
      <c r="H177">
        <f>H176*N30*0.001</f>
        <v>0</v>
      </c>
      <c r="I177">
        <f>I176*N30*0.001</f>
        <v>0</v>
      </c>
      <c r="J177">
        <f>J176*N30*0.001</f>
        <v>0</v>
      </c>
      <c r="K177">
        <f>K176*N30*0.001</f>
        <v>0</v>
      </c>
      <c r="L177">
        <f>L176*N30*0.001</f>
        <v>23.916771464502116</v>
      </c>
      <c r="M177">
        <f>M176*N30*0.001</f>
        <v>0</v>
      </c>
      <c r="N177">
        <f>N176*N30*0.001</f>
        <v>0</v>
      </c>
      <c r="O177">
        <f>O176*N30*0.001</f>
        <v>0</v>
      </c>
      <c r="P177">
        <f>P176*N30*0.001</f>
        <v>0</v>
      </c>
      <c r="Q177">
        <f>Q176*N30*0.001</f>
        <v>0</v>
      </c>
      <c r="R177">
        <f>R176*N30*0.001</f>
        <v>0</v>
      </c>
      <c r="S177">
        <f>S176*N30*0.001</f>
        <v>0</v>
      </c>
      <c r="U177" s="16">
        <v>470410</v>
      </c>
      <c r="V177" t="s">
        <v>1064</v>
      </c>
      <c r="W177" t="s">
        <v>792</v>
      </c>
      <c r="Y177" t="s">
        <v>275</v>
      </c>
      <c r="Z177" t="str">
        <f>VLOOKUP(Y177,'Price Table 8 OHB'!A:B,2,FALSE)</f>
        <v>Propulsion - Engineering</v>
      </c>
      <c r="AC177" s="565">
        <f>AC176*$N$30</f>
        <v>0</v>
      </c>
      <c r="AD177">
        <f t="shared" ref="AD177:AZ177" si="81">AD176*$N$30</f>
        <v>0</v>
      </c>
      <c r="AE177">
        <f t="shared" si="81"/>
        <v>0</v>
      </c>
      <c r="AF177">
        <f t="shared" si="81"/>
        <v>0</v>
      </c>
      <c r="AG177">
        <f t="shared" si="81"/>
        <v>0</v>
      </c>
      <c r="AH177">
        <f t="shared" si="81"/>
        <v>0</v>
      </c>
      <c r="AI177">
        <f t="shared" si="81"/>
        <v>0</v>
      </c>
      <c r="AJ177">
        <f t="shared" si="81"/>
        <v>0</v>
      </c>
      <c r="AK177">
        <f t="shared" si="81"/>
        <v>0</v>
      </c>
      <c r="AL177">
        <f>AL176*$N$30*0.001</f>
        <v>23.916771464502116</v>
      </c>
      <c r="AM177">
        <f t="shared" si="81"/>
        <v>0</v>
      </c>
      <c r="AN177">
        <f t="shared" si="81"/>
        <v>0</v>
      </c>
      <c r="AO177">
        <f t="shared" si="81"/>
        <v>0</v>
      </c>
      <c r="AP177">
        <f t="shared" si="81"/>
        <v>0</v>
      </c>
      <c r="AQ177">
        <f t="shared" si="81"/>
        <v>0</v>
      </c>
      <c r="AR177">
        <f t="shared" si="81"/>
        <v>0</v>
      </c>
      <c r="AS177">
        <f t="shared" si="81"/>
        <v>0</v>
      </c>
      <c r="AT177">
        <f t="shared" si="81"/>
        <v>0</v>
      </c>
      <c r="AU177">
        <f t="shared" si="81"/>
        <v>0</v>
      </c>
      <c r="AV177">
        <f t="shared" si="81"/>
        <v>0</v>
      </c>
      <c r="AW177">
        <f t="shared" si="81"/>
        <v>0</v>
      </c>
      <c r="AX177">
        <f t="shared" si="81"/>
        <v>0</v>
      </c>
      <c r="AY177">
        <f t="shared" si="81"/>
        <v>0</v>
      </c>
      <c r="AZ177" s="275">
        <f t="shared" si="81"/>
        <v>0</v>
      </c>
    </row>
    <row r="178" spans="1:53">
      <c r="A178" t="s">
        <v>1066</v>
      </c>
      <c r="D178" t="s">
        <v>793</v>
      </c>
      <c r="L178">
        <v>10</v>
      </c>
      <c r="U178" s="16">
        <v>470410</v>
      </c>
      <c r="V178" t="s">
        <v>1064</v>
      </c>
      <c r="W178" t="s">
        <v>793</v>
      </c>
      <c r="Y178" t="s">
        <v>596</v>
      </c>
      <c r="Z178" t="str">
        <f>VLOOKUP(Y178,'Price Table 8 OHB'!A:B,2,FALSE)</f>
        <v>Propulsion - HW procurements</v>
      </c>
      <c r="AC178" s="565"/>
      <c r="AL178">
        <f>L178</f>
        <v>10</v>
      </c>
      <c r="AZ178" s="275"/>
    </row>
    <row r="179" spans="1:53">
      <c r="A179" t="s">
        <v>1067</v>
      </c>
      <c r="D179" t="s">
        <v>966</v>
      </c>
      <c r="U179" s="16">
        <v>470410</v>
      </c>
      <c r="V179" t="s">
        <v>1064</v>
      </c>
      <c r="W179" t="s">
        <v>966</v>
      </c>
      <c r="Y179" t="s">
        <v>275</v>
      </c>
      <c r="Z179" t="str">
        <f>VLOOKUP(Y179,'Price Table 8 OHB'!A:B,2,FALSE)</f>
        <v>Propulsion - Engineering</v>
      </c>
      <c r="AC179" s="565"/>
      <c r="AZ179" s="275"/>
    </row>
    <row r="180" spans="1:53" ht="15.75" thickBot="1">
      <c r="D180" t="s">
        <v>794</v>
      </c>
      <c r="G180" s="570"/>
      <c r="H180">
        <f>H177+H178+H179</f>
        <v>0</v>
      </c>
      <c r="I180">
        <f>I177+I178+I179</f>
        <v>0</v>
      </c>
      <c r="J180">
        <f>J177+J178+J179</f>
        <v>0</v>
      </c>
      <c r="K180">
        <f t="shared" ref="K180:S180" si="82">K177+K178+K179</f>
        <v>0</v>
      </c>
      <c r="L180">
        <f t="shared" si="82"/>
        <v>33.916771464502119</v>
      </c>
      <c r="M180">
        <f t="shared" si="82"/>
        <v>0</v>
      </c>
      <c r="N180">
        <f t="shared" si="82"/>
        <v>0</v>
      </c>
      <c r="O180">
        <f t="shared" si="82"/>
        <v>0</v>
      </c>
      <c r="P180">
        <f t="shared" si="82"/>
        <v>0</v>
      </c>
      <c r="Q180">
        <f t="shared" si="82"/>
        <v>0</v>
      </c>
      <c r="R180">
        <f t="shared" si="82"/>
        <v>0</v>
      </c>
      <c r="S180">
        <f t="shared" si="82"/>
        <v>0</v>
      </c>
      <c r="T180">
        <f>SUM(H180:S180)</f>
        <v>33.916771464502119</v>
      </c>
      <c r="U180" s="16"/>
      <c r="W180" t="s">
        <v>794</v>
      </c>
      <c r="AC180" s="567">
        <f>SUM(AC177:AC179)</f>
        <v>0</v>
      </c>
      <c r="AD180" s="265">
        <f t="shared" ref="AD180:AZ180" si="83">SUM(AD177:AD179)</f>
        <v>0</v>
      </c>
      <c r="AE180" s="265">
        <f t="shared" si="83"/>
        <v>0</v>
      </c>
      <c r="AF180" s="265">
        <f t="shared" si="83"/>
        <v>0</v>
      </c>
      <c r="AG180" s="265">
        <f t="shared" si="83"/>
        <v>0</v>
      </c>
      <c r="AH180" s="265">
        <f t="shared" si="83"/>
        <v>0</v>
      </c>
      <c r="AI180" s="265">
        <f t="shared" si="83"/>
        <v>0</v>
      </c>
      <c r="AJ180" s="265">
        <f t="shared" si="83"/>
        <v>0</v>
      </c>
      <c r="AK180" s="265">
        <f t="shared" si="83"/>
        <v>0</v>
      </c>
      <c r="AL180" s="265">
        <f t="shared" si="83"/>
        <v>33.916771464502119</v>
      </c>
      <c r="AM180" s="265">
        <f t="shared" si="83"/>
        <v>0</v>
      </c>
      <c r="AN180" s="265">
        <f t="shared" si="83"/>
        <v>0</v>
      </c>
      <c r="AO180" s="265">
        <f t="shared" si="83"/>
        <v>0</v>
      </c>
      <c r="AP180" s="265">
        <f t="shared" si="83"/>
        <v>0</v>
      </c>
      <c r="AQ180" s="265">
        <f t="shared" si="83"/>
        <v>0</v>
      </c>
      <c r="AR180" s="265">
        <f t="shared" si="83"/>
        <v>0</v>
      </c>
      <c r="AS180" s="265">
        <f t="shared" si="83"/>
        <v>0</v>
      </c>
      <c r="AT180" s="265">
        <f t="shared" si="83"/>
        <v>0</v>
      </c>
      <c r="AU180" s="265">
        <f t="shared" si="83"/>
        <v>0</v>
      </c>
      <c r="AV180" s="265">
        <f t="shared" si="83"/>
        <v>0</v>
      </c>
      <c r="AW180" s="265">
        <f t="shared" si="83"/>
        <v>0</v>
      </c>
      <c r="AX180" s="265">
        <f t="shared" si="83"/>
        <v>0</v>
      </c>
      <c r="AY180" s="265">
        <f t="shared" si="83"/>
        <v>0</v>
      </c>
      <c r="AZ180" s="276">
        <f t="shared" si="83"/>
        <v>0</v>
      </c>
      <c r="BA180" s="16">
        <f>SUM(AC180:AZ180)</f>
        <v>33.916771464502119</v>
      </c>
    </row>
    <row r="181" spans="1:53" ht="15.75" thickBot="1">
      <c r="A181" s="90"/>
      <c r="B181" s="91"/>
      <c r="C181" s="90"/>
      <c r="D181" s="90"/>
      <c r="E181" s="90"/>
      <c r="F181" s="90"/>
      <c r="G181" s="90"/>
      <c r="H181" s="90"/>
      <c r="I181" s="90"/>
      <c r="J181" s="90"/>
      <c r="K181" s="90"/>
      <c r="L181" s="90"/>
      <c r="M181" s="90"/>
      <c r="N181" s="90"/>
      <c r="O181" s="90"/>
      <c r="P181" s="90"/>
      <c r="Q181" s="90"/>
      <c r="R181" s="90"/>
      <c r="S181" s="90"/>
      <c r="W181" s="94" t="s">
        <v>1068</v>
      </c>
      <c r="X181" s="94" t="s">
        <v>1040</v>
      </c>
    </row>
    <row r="182" spans="1:53">
      <c r="A182" t="s">
        <v>1069</v>
      </c>
      <c r="D182" t="s">
        <v>791</v>
      </c>
      <c r="L182">
        <v>300</v>
      </c>
      <c r="U182" s="16">
        <v>470420</v>
      </c>
      <c r="V182" t="s">
        <v>1070</v>
      </c>
      <c r="W182" t="s">
        <v>791</v>
      </c>
      <c r="AC182" s="563"/>
      <c r="AD182" s="564"/>
      <c r="AE182" s="564"/>
      <c r="AF182" s="564"/>
      <c r="AG182" s="568">
        <f>L182/2</f>
        <v>150</v>
      </c>
      <c r="AH182" s="568">
        <f>L182/2</f>
        <v>150</v>
      </c>
      <c r="AI182" s="564"/>
      <c r="AJ182" s="564"/>
      <c r="AK182" s="564"/>
      <c r="AL182" s="564"/>
      <c r="AM182" s="564"/>
      <c r="AN182" s="564"/>
      <c r="AO182" s="564"/>
      <c r="AP182" s="564"/>
      <c r="AQ182" s="564"/>
      <c r="AR182" s="564"/>
      <c r="AS182" s="564"/>
      <c r="AT182" s="564"/>
      <c r="AU182" s="564"/>
      <c r="AV182" s="564"/>
      <c r="AW182" s="564"/>
      <c r="AX182" s="564"/>
      <c r="AY182" s="564"/>
      <c r="AZ182" s="274"/>
    </row>
    <row r="183" spans="1:53">
      <c r="A183" t="s">
        <v>1070</v>
      </c>
      <c r="D183" t="s">
        <v>792</v>
      </c>
      <c r="H183">
        <f>H182*N30*0.001</f>
        <v>0</v>
      </c>
      <c r="I183">
        <f>I182*N30*0.001</f>
        <v>0</v>
      </c>
      <c r="J183">
        <f>J182*N30*0.001</f>
        <v>0</v>
      </c>
      <c r="K183">
        <f>K182*N30*0.001</f>
        <v>0</v>
      </c>
      <c r="L183">
        <f>L182*N30*0.001</f>
        <v>29.895964330627645</v>
      </c>
      <c r="M183">
        <f>M182*N30*0.001</f>
        <v>0</v>
      </c>
      <c r="N183">
        <f>N182*N30*0.001</f>
        <v>0</v>
      </c>
      <c r="O183">
        <f>O182*N30*0.001</f>
        <v>0</v>
      </c>
      <c r="P183">
        <f>P182*N30*0.001</f>
        <v>0</v>
      </c>
      <c r="Q183">
        <f>Q182*N30*0.001</f>
        <v>0</v>
      </c>
      <c r="R183">
        <f>R182*N30*0.001</f>
        <v>0</v>
      </c>
      <c r="S183">
        <f>S182*N30*0.001</f>
        <v>0</v>
      </c>
      <c r="U183" s="16">
        <v>470420</v>
      </c>
      <c r="V183" t="s">
        <v>1070</v>
      </c>
      <c r="W183" t="s">
        <v>792</v>
      </c>
      <c r="Y183" t="s">
        <v>275</v>
      </c>
      <c r="Z183" t="str">
        <f>VLOOKUP(Y183,'Price Table 8 OHB'!A:B,2,FALSE)</f>
        <v>Propulsion - Engineering</v>
      </c>
      <c r="AC183" s="565">
        <f>AC182*$N$30*0.001</f>
        <v>0</v>
      </c>
      <c r="AD183">
        <f t="shared" ref="AD183:AZ183" si="84">AD182*$N$30*0.001</f>
        <v>0</v>
      </c>
      <c r="AE183">
        <f t="shared" si="84"/>
        <v>0</v>
      </c>
      <c r="AF183">
        <f t="shared" si="84"/>
        <v>0</v>
      </c>
      <c r="AG183">
        <f t="shared" si="84"/>
        <v>14.947982165313823</v>
      </c>
      <c r="AH183">
        <f t="shared" si="84"/>
        <v>14.947982165313823</v>
      </c>
      <c r="AI183">
        <f t="shared" si="84"/>
        <v>0</v>
      </c>
      <c r="AJ183">
        <f t="shared" si="84"/>
        <v>0</v>
      </c>
      <c r="AK183">
        <f t="shared" si="84"/>
        <v>0</v>
      </c>
      <c r="AL183">
        <f t="shared" si="84"/>
        <v>0</v>
      </c>
      <c r="AM183">
        <f t="shared" si="84"/>
        <v>0</v>
      </c>
      <c r="AN183">
        <f t="shared" si="84"/>
        <v>0</v>
      </c>
      <c r="AO183">
        <f t="shared" si="84"/>
        <v>0</v>
      </c>
      <c r="AP183">
        <f t="shared" si="84"/>
        <v>0</v>
      </c>
      <c r="AQ183">
        <f t="shared" si="84"/>
        <v>0</v>
      </c>
      <c r="AR183">
        <f t="shared" si="84"/>
        <v>0</v>
      </c>
      <c r="AS183">
        <f t="shared" si="84"/>
        <v>0</v>
      </c>
      <c r="AT183">
        <f t="shared" si="84"/>
        <v>0</v>
      </c>
      <c r="AU183">
        <f t="shared" si="84"/>
        <v>0</v>
      </c>
      <c r="AV183">
        <f t="shared" si="84"/>
        <v>0</v>
      </c>
      <c r="AW183">
        <f t="shared" si="84"/>
        <v>0</v>
      </c>
      <c r="AX183">
        <f t="shared" si="84"/>
        <v>0</v>
      </c>
      <c r="AY183">
        <f t="shared" si="84"/>
        <v>0</v>
      </c>
      <c r="AZ183" s="275">
        <f t="shared" si="84"/>
        <v>0</v>
      </c>
    </row>
    <row r="184" spans="1:53">
      <c r="D184" t="s">
        <v>793</v>
      </c>
      <c r="L184">
        <v>10</v>
      </c>
      <c r="U184" s="16">
        <v>470420</v>
      </c>
      <c r="V184" t="s">
        <v>1070</v>
      </c>
      <c r="W184" t="s">
        <v>793</v>
      </c>
      <c r="Y184" t="s">
        <v>596</v>
      </c>
      <c r="Z184" t="str">
        <f>VLOOKUP(Y184,'Price Table 8 OHB'!A:B,2,FALSE)</f>
        <v>Propulsion - HW procurements</v>
      </c>
      <c r="AC184" s="565"/>
      <c r="AG184">
        <f>L184</f>
        <v>10</v>
      </c>
      <c r="AZ184" s="275"/>
    </row>
    <row r="185" spans="1:53">
      <c r="D185" t="s">
        <v>966</v>
      </c>
      <c r="U185" s="16">
        <v>470420</v>
      </c>
      <c r="V185" t="s">
        <v>1070</v>
      </c>
      <c r="W185" t="s">
        <v>966</v>
      </c>
      <c r="Y185" t="s">
        <v>275</v>
      </c>
      <c r="Z185" t="str">
        <f>VLOOKUP(Y185,'Price Table 8 OHB'!A:B,2,FALSE)</f>
        <v>Propulsion - Engineering</v>
      </c>
      <c r="AC185" s="565"/>
      <c r="AZ185" s="275"/>
    </row>
    <row r="186" spans="1:53" ht="15.75" thickBot="1">
      <c r="D186" t="s">
        <v>794</v>
      </c>
      <c r="G186" s="570"/>
      <c r="H186">
        <f>H183+H184+H185</f>
        <v>0</v>
      </c>
      <c r="I186">
        <f>I183+I184+I185</f>
        <v>0</v>
      </c>
      <c r="J186">
        <f>J183+J184+J185</f>
        <v>0</v>
      </c>
      <c r="K186">
        <f t="shared" ref="K186:S186" si="85">K183+K184+K185</f>
        <v>0</v>
      </c>
      <c r="L186">
        <f t="shared" si="85"/>
        <v>39.895964330627649</v>
      </c>
      <c r="M186">
        <f t="shared" si="85"/>
        <v>0</v>
      </c>
      <c r="N186">
        <f t="shared" si="85"/>
        <v>0</v>
      </c>
      <c r="O186">
        <f t="shared" si="85"/>
        <v>0</v>
      </c>
      <c r="P186">
        <f t="shared" si="85"/>
        <v>0</v>
      </c>
      <c r="Q186">
        <f t="shared" si="85"/>
        <v>0</v>
      </c>
      <c r="R186">
        <f t="shared" si="85"/>
        <v>0</v>
      </c>
      <c r="S186">
        <f t="shared" si="85"/>
        <v>0</v>
      </c>
      <c r="T186">
        <f>SUM(H186:S186)</f>
        <v>39.895964330627649</v>
      </c>
      <c r="U186" s="16"/>
      <c r="W186" t="s">
        <v>794</v>
      </c>
      <c r="AC186" s="567">
        <f>SUM(AC183:AC185)</f>
        <v>0</v>
      </c>
      <c r="AD186" s="265">
        <f t="shared" ref="AD186:AZ186" si="86">SUM(AD183:AD185)</f>
        <v>0</v>
      </c>
      <c r="AE186" s="265">
        <f t="shared" si="86"/>
        <v>0</v>
      </c>
      <c r="AF186" s="265">
        <f t="shared" si="86"/>
        <v>0</v>
      </c>
      <c r="AG186" s="265">
        <f t="shared" si="86"/>
        <v>24.947982165313825</v>
      </c>
      <c r="AH186" s="265">
        <f t="shared" si="86"/>
        <v>14.947982165313823</v>
      </c>
      <c r="AI186" s="265">
        <f t="shared" si="86"/>
        <v>0</v>
      </c>
      <c r="AJ186" s="265">
        <f t="shared" si="86"/>
        <v>0</v>
      </c>
      <c r="AK186" s="265">
        <f t="shared" si="86"/>
        <v>0</v>
      </c>
      <c r="AL186" s="265">
        <f t="shared" si="86"/>
        <v>0</v>
      </c>
      <c r="AM186" s="265">
        <f t="shared" si="86"/>
        <v>0</v>
      </c>
      <c r="AN186" s="265">
        <f t="shared" si="86"/>
        <v>0</v>
      </c>
      <c r="AO186" s="265">
        <f t="shared" si="86"/>
        <v>0</v>
      </c>
      <c r="AP186" s="265">
        <f t="shared" si="86"/>
        <v>0</v>
      </c>
      <c r="AQ186" s="265">
        <f t="shared" si="86"/>
        <v>0</v>
      </c>
      <c r="AR186" s="265">
        <f t="shared" si="86"/>
        <v>0</v>
      </c>
      <c r="AS186" s="265">
        <f t="shared" si="86"/>
        <v>0</v>
      </c>
      <c r="AT186" s="265">
        <f t="shared" si="86"/>
        <v>0</v>
      </c>
      <c r="AU186" s="265">
        <f t="shared" si="86"/>
        <v>0</v>
      </c>
      <c r="AV186" s="265">
        <f t="shared" si="86"/>
        <v>0</v>
      </c>
      <c r="AW186" s="265">
        <f t="shared" si="86"/>
        <v>0</v>
      </c>
      <c r="AX186" s="265">
        <f t="shared" si="86"/>
        <v>0</v>
      </c>
      <c r="AY186" s="265">
        <f t="shared" si="86"/>
        <v>0</v>
      </c>
      <c r="AZ186" s="276">
        <f t="shared" si="86"/>
        <v>0</v>
      </c>
      <c r="BA186" s="16">
        <f>SUM(AC186:AZ186)</f>
        <v>39.895964330627649</v>
      </c>
    </row>
    <row r="187" spans="1:53" ht="15.75" thickBot="1">
      <c r="A187" s="90"/>
      <c r="B187" s="91"/>
      <c r="C187" s="90"/>
      <c r="D187" s="90"/>
      <c r="E187" s="90"/>
      <c r="F187" s="90"/>
      <c r="G187" s="90"/>
      <c r="H187" s="90"/>
      <c r="I187" s="90"/>
      <c r="J187" s="90"/>
      <c r="K187" s="90"/>
      <c r="L187" s="90"/>
      <c r="M187" s="90"/>
      <c r="N187" s="90"/>
      <c r="O187" s="90"/>
      <c r="P187" s="90"/>
      <c r="Q187" s="90"/>
      <c r="R187" s="90"/>
      <c r="S187" s="90"/>
      <c r="W187" s="94" t="s">
        <v>1071</v>
      </c>
      <c r="X187" s="94" t="s">
        <v>1040</v>
      </c>
    </row>
    <row r="188" spans="1:53">
      <c r="A188" t="s">
        <v>1072</v>
      </c>
      <c r="D188" t="s">
        <v>791</v>
      </c>
      <c r="L188">
        <v>480</v>
      </c>
      <c r="M188">
        <v>480</v>
      </c>
      <c r="U188" s="16">
        <v>470430</v>
      </c>
      <c r="V188" t="s">
        <v>1073</v>
      </c>
      <c r="W188" t="s">
        <v>791</v>
      </c>
      <c r="AC188" s="563"/>
      <c r="AD188" s="564"/>
      <c r="AE188" s="564"/>
      <c r="AF188" s="564"/>
      <c r="AG188" s="564"/>
      <c r="AH188" s="564"/>
      <c r="AI188" s="564"/>
      <c r="AJ188" s="564"/>
      <c r="AK188" s="564"/>
      <c r="AL188" s="568">
        <f>L188</f>
        <v>480</v>
      </c>
      <c r="AM188" s="568">
        <f>M188</f>
        <v>480</v>
      </c>
      <c r="AN188" s="564"/>
      <c r="AO188" s="564"/>
      <c r="AP188" s="564"/>
      <c r="AQ188" s="564"/>
      <c r="AR188" s="564"/>
      <c r="AS188" s="564"/>
      <c r="AT188" s="564"/>
      <c r="AU188" s="564"/>
      <c r="AV188" s="564"/>
      <c r="AW188" s="564"/>
      <c r="AX188" s="564"/>
      <c r="AY188" s="564"/>
      <c r="AZ188" s="274"/>
    </row>
    <row r="189" spans="1:53">
      <c r="A189" t="s">
        <v>1073</v>
      </c>
      <c r="D189" t="s">
        <v>792</v>
      </c>
      <c r="H189">
        <f>H188*N30*0.001</f>
        <v>0</v>
      </c>
      <c r="I189">
        <f>I188*N30*0.001</f>
        <v>0</v>
      </c>
      <c r="J189">
        <f>J188*N30*0.001</f>
        <v>0</v>
      </c>
      <c r="K189">
        <f>K188*N30*0.001</f>
        <v>0</v>
      </c>
      <c r="L189">
        <f>L188*N30*0.001</f>
        <v>47.833542929004231</v>
      </c>
      <c r="M189">
        <f>M188*N30*0.001</f>
        <v>47.833542929004231</v>
      </c>
      <c r="N189">
        <f>N188*N30*0.001</f>
        <v>0</v>
      </c>
      <c r="O189">
        <f>O188*N30*0.001</f>
        <v>0</v>
      </c>
      <c r="P189">
        <f>P188*N30*0.001</f>
        <v>0</v>
      </c>
      <c r="Q189">
        <f>Q188*N30*0.001</f>
        <v>0</v>
      </c>
      <c r="R189">
        <f>R188*N30*0.001</f>
        <v>0</v>
      </c>
      <c r="S189">
        <f>S188*N30*0.001</f>
        <v>0</v>
      </c>
      <c r="U189" s="16">
        <v>470430</v>
      </c>
      <c r="V189" t="s">
        <v>1073</v>
      </c>
      <c r="W189" t="s">
        <v>792</v>
      </c>
      <c r="Y189" t="s">
        <v>275</v>
      </c>
      <c r="Z189" t="str">
        <f>VLOOKUP(Y189,'Price Table 8 OHB'!A:B,2,FALSE)</f>
        <v>Propulsion - Engineering</v>
      </c>
      <c r="AC189" s="565">
        <f>AC188*$N$30*0.001</f>
        <v>0</v>
      </c>
      <c r="AD189">
        <f t="shared" ref="AD189:AZ189" si="87">AD188*$N$30*0.001</f>
        <v>0</v>
      </c>
      <c r="AE189">
        <f t="shared" si="87"/>
        <v>0</v>
      </c>
      <c r="AF189">
        <f t="shared" si="87"/>
        <v>0</v>
      </c>
      <c r="AG189">
        <f t="shared" si="87"/>
        <v>0</v>
      </c>
      <c r="AH189">
        <f t="shared" si="87"/>
        <v>0</v>
      </c>
      <c r="AI189">
        <f t="shared" si="87"/>
        <v>0</v>
      </c>
      <c r="AJ189">
        <f t="shared" si="87"/>
        <v>0</v>
      </c>
      <c r="AK189">
        <f t="shared" si="87"/>
        <v>0</v>
      </c>
      <c r="AL189">
        <f t="shared" si="87"/>
        <v>47.833542929004231</v>
      </c>
      <c r="AM189">
        <f t="shared" si="87"/>
        <v>47.833542929004231</v>
      </c>
      <c r="AN189">
        <f t="shared" si="87"/>
        <v>0</v>
      </c>
      <c r="AO189">
        <f t="shared" si="87"/>
        <v>0</v>
      </c>
      <c r="AP189">
        <f t="shared" si="87"/>
        <v>0</v>
      </c>
      <c r="AQ189">
        <f t="shared" si="87"/>
        <v>0</v>
      </c>
      <c r="AR189">
        <f t="shared" si="87"/>
        <v>0</v>
      </c>
      <c r="AS189">
        <f t="shared" si="87"/>
        <v>0</v>
      </c>
      <c r="AT189">
        <f t="shared" si="87"/>
        <v>0</v>
      </c>
      <c r="AU189">
        <f t="shared" si="87"/>
        <v>0</v>
      </c>
      <c r="AV189">
        <f t="shared" si="87"/>
        <v>0</v>
      </c>
      <c r="AW189">
        <f t="shared" si="87"/>
        <v>0</v>
      </c>
      <c r="AX189">
        <f t="shared" si="87"/>
        <v>0</v>
      </c>
      <c r="AY189">
        <f t="shared" si="87"/>
        <v>0</v>
      </c>
      <c r="AZ189" s="275">
        <f t="shared" si="87"/>
        <v>0</v>
      </c>
    </row>
    <row r="190" spans="1:53">
      <c r="D190" t="s">
        <v>793</v>
      </c>
      <c r="U190" s="16">
        <v>470430</v>
      </c>
      <c r="V190" t="s">
        <v>1073</v>
      </c>
      <c r="W190" t="s">
        <v>793</v>
      </c>
      <c r="Y190" t="s">
        <v>596</v>
      </c>
      <c r="Z190" t="str">
        <f>VLOOKUP(Y190,'Price Table 8 OHB'!A:B,2,FALSE)</f>
        <v>Propulsion - HW procurements</v>
      </c>
      <c r="AC190" s="565"/>
      <c r="AZ190" s="275"/>
    </row>
    <row r="191" spans="1:53">
      <c r="D191" t="s">
        <v>966</v>
      </c>
      <c r="U191" s="16">
        <v>470430</v>
      </c>
      <c r="V191" t="s">
        <v>1073</v>
      </c>
      <c r="W191" t="s">
        <v>966</v>
      </c>
      <c r="Y191" t="s">
        <v>275</v>
      </c>
      <c r="Z191" t="str">
        <f>VLOOKUP(Y191,'Price Table 8 OHB'!A:B,2,FALSE)</f>
        <v>Propulsion - Engineering</v>
      </c>
      <c r="AC191" s="565"/>
      <c r="AZ191" s="275"/>
    </row>
    <row r="192" spans="1:53" ht="15.75" thickBot="1">
      <c r="D192" t="s">
        <v>794</v>
      </c>
      <c r="G192" s="570"/>
      <c r="H192">
        <f>H189+H190+H191</f>
        <v>0</v>
      </c>
      <c r="I192">
        <f>I189+I190+I191</f>
        <v>0</v>
      </c>
      <c r="J192">
        <f>J189+J190+J191</f>
        <v>0</v>
      </c>
      <c r="K192">
        <f t="shared" ref="K192:S192" si="88">K189+K190+K191</f>
        <v>0</v>
      </c>
      <c r="L192">
        <f t="shared" si="88"/>
        <v>47.833542929004231</v>
      </c>
      <c r="M192">
        <f t="shared" si="88"/>
        <v>47.833542929004231</v>
      </c>
      <c r="N192">
        <f t="shared" si="88"/>
        <v>0</v>
      </c>
      <c r="O192">
        <f t="shared" si="88"/>
        <v>0</v>
      </c>
      <c r="P192">
        <f t="shared" si="88"/>
        <v>0</v>
      </c>
      <c r="Q192">
        <f t="shared" si="88"/>
        <v>0</v>
      </c>
      <c r="R192">
        <f t="shared" si="88"/>
        <v>0</v>
      </c>
      <c r="S192">
        <f t="shared" si="88"/>
        <v>0</v>
      </c>
      <c r="T192">
        <f>SUM(H192:S192)</f>
        <v>95.667085858008463</v>
      </c>
      <c r="U192" s="16"/>
      <c r="W192" t="s">
        <v>794</v>
      </c>
      <c r="AC192" s="567">
        <f>SUM(AC189:AC191)</f>
        <v>0</v>
      </c>
      <c r="AD192" s="265">
        <f t="shared" ref="AD192:AZ192" si="89">SUM(AD189:AD191)</f>
        <v>0</v>
      </c>
      <c r="AE192" s="265">
        <f t="shared" si="89"/>
        <v>0</v>
      </c>
      <c r="AF192" s="265">
        <f t="shared" si="89"/>
        <v>0</v>
      </c>
      <c r="AG192" s="265">
        <f t="shared" si="89"/>
        <v>0</v>
      </c>
      <c r="AH192" s="265">
        <f t="shared" si="89"/>
        <v>0</v>
      </c>
      <c r="AI192" s="265">
        <f t="shared" si="89"/>
        <v>0</v>
      </c>
      <c r="AJ192" s="265">
        <f t="shared" si="89"/>
        <v>0</v>
      </c>
      <c r="AK192" s="265">
        <f t="shared" si="89"/>
        <v>0</v>
      </c>
      <c r="AL192" s="265">
        <f t="shared" si="89"/>
        <v>47.833542929004231</v>
      </c>
      <c r="AM192" s="265">
        <f t="shared" si="89"/>
        <v>47.833542929004231</v>
      </c>
      <c r="AN192" s="265">
        <f t="shared" si="89"/>
        <v>0</v>
      </c>
      <c r="AO192" s="265">
        <f t="shared" si="89"/>
        <v>0</v>
      </c>
      <c r="AP192" s="265">
        <f t="shared" si="89"/>
        <v>0</v>
      </c>
      <c r="AQ192" s="265">
        <f t="shared" si="89"/>
        <v>0</v>
      </c>
      <c r="AR192" s="265">
        <f t="shared" si="89"/>
        <v>0</v>
      </c>
      <c r="AS192" s="265">
        <f t="shared" si="89"/>
        <v>0</v>
      </c>
      <c r="AT192" s="265">
        <f t="shared" si="89"/>
        <v>0</v>
      </c>
      <c r="AU192" s="265">
        <f t="shared" si="89"/>
        <v>0</v>
      </c>
      <c r="AV192" s="265">
        <f t="shared" si="89"/>
        <v>0</v>
      </c>
      <c r="AW192" s="265">
        <f t="shared" si="89"/>
        <v>0</v>
      </c>
      <c r="AX192" s="265">
        <f t="shared" si="89"/>
        <v>0</v>
      </c>
      <c r="AY192" s="265">
        <f t="shared" si="89"/>
        <v>0</v>
      </c>
      <c r="AZ192" s="276">
        <f t="shared" si="89"/>
        <v>0</v>
      </c>
      <c r="BA192" s="16">
        <f>SUM(AC192:AZ192)</f>
        <v>95.667085858008463</v>
      </c>
    </row>
    <row r="193" spans="1:53" ht="15.75" thickBot="1">
      <c r="A193" s="90"/>
      <c r="B193" s="91"/>
      <c r="C193" s="90"/>
      <c r="D193" s="90"/>
      <c r="E193" s="90"/>
      <c r="F193" s="90"/>
      <c r="G193" s="90"/>
      <c r="H193" s="90"/>
      <c r="I193" s="90"/>
      <c r="J193" s="90"/>
      <c r="K193" s="90"/>
      <c r="L193" s="90"/>
      <c r="M193" s="90"/>
      <c r="N193" s="90"/>
      <c r="O193" s="90"/>
      <c r="P193" s="90"/>
      <c r="Q193" s="90"/>
      <c r="R193" s="90"/>
      <c r="S193" s="90"/>
      <c r="W193" s="94" t="s">
        <v>1074</v>
      </c>
      <c r="X193" s="94" t="s">
        <v>1040</v>
      </c>
    </row>
    <row r="194" spans="1:53">
      <c r="A194" t="s">
        <v>1075</v>
      </c>
      <c r="D194" t="s">
        <v>791</v>
      </c>
      <c r="L194">
        <v>180</v>
      </c>
      <c r="U194" s="16">
        <v>470510</v>
      </c>
      <c r="V194" t="s">
        <v>1076</v>
      </c>
      <c r="W194" t="s">
        <v>791</v>
      </c>
      <c r="AC194" s="563"/>
      <c r="AD194" s="564"/>
      <c r="AE194" s="564"/>
      <c r="AF194" s="564"/>
      <c r="AG194" s="564"/>
      <c r="AH194" s="564"/>
      <c r="AI194" s="564"/>
      <c r="AJ194" s="564"/>
      <c r="AK194" s="564"/>
      <c r="AL194" s="564"/>
      <c r="AM194" s="564"/>
      <c r="AN194" s="564"/>
      <c r="AO194" s="568">
        <f>L194</f>
        <v>180</v>
      </c>
      <c r="AP194" s="564"/>
      <c r="AQ194" s="564"/>
      <c r="AR194" s="564"/>
      <c r="AS194" s="564"/>
      <c r="AT194" s="564"/>
      <c r="AU194" s="564"/>
      <c r="AV194" s="564"/>
      <c r="AW194" s="564"/>
      <c r="AX194" s="564"/>
      <c r="AY194" s="564"/>
      <c r="AZ194" s="274"/>
    </row>
    <row r="195" spans="1:53">
      <c r="A195" t="s">
        <v>1076</v>
      </c>
      <c r="D195" t="s">
        <v>792</v>
      </c>
      <c r="H195">
        <f>H194*N30*0.001</f>
        <v>0</v>
      </c>
      <c r="I195">
        <f>I194*N30*0.001</f>
        <v>0</v>
      </c>
      <c r="J195">
        <f>J194*N30*0.001</f>
        <v>0</v>
      </c>
      <c r="K195">
        <f>K194*N30*0.001</f>
        <v>0</v>
      </c>
      <c r="L195">
        <f>L194*N30*0.001</f>
        <v>17.937578598376586</v>
      </c>
      <c r="M195">
        <f>M194*N30*0.001</f>
        <v>0</v>
      </c>
      <c r="N195">
        <f>N194*N30*0.001</f>
        <v>0</v>
      </c>
      <c r="O195">
        <f>O194*N30*0.001</f>
        <v>0</v>
      </c>
      <c r="P195">
        <f>P194*N30*0.001</f>
        <v>0</v>
      </c>
      <c r="Q195">
        <f>Q194*N30*0.001</f>
        <v>0</v>
      </c>
      <c r="R195">
        <f>R194*N30*0.001</f>
        <v>0</v>
      </c>
      <c r="S195">
        <f>S194*N30*0.001</f>
        <v>0</v>
      </c>
      <c r="U195" s="16">
        <v>470510</v>
      </c>
      <c r="V195" t="s">
        <v>1076</v>
      </c>
      <c r="W195" t="s">
        <v>792</v>
      </c>
      <c r="Y195" t="s">
        <v>275</v>
      </c>
      <c r="Z195" t="str">
        <f>VLOOKUP(Y195,'Price Table 8 OHB'!A:B,2,FALSE)</f>
        <v>Propulsion - Engineering</v>
      </c>
      <c r="AC195" s="565">
        <f>AC194*$N$30*0.001</f>
        <v>0</v>
      </c>
      <c r="AD195">
        <f t="shared" ref="AD195:AZ195" si="90">AD194*$N$30*0.001</f>
        <v>0</v>
      </c>
      <c r="AE195">
        <f t="shared" si="90"/>
        <v>0</v>
      </c>
      <c r="AF195">
        <f t="shared" si="90"/>
        <v>0</v>
      </c>
      <c r="AG195">
        <f t="shared" si="90"/>
        <v>0</v>
      </c>
      <c r="AH195">
        <f t="shared" si="90"/>
        <v>0</v>
      </c>
      <c r="AI195">
        <f t="shared" si="90"/>
        <v>0</v>
      </c>
      <c r="AJ195">
        <f t="shared" si="90"/>
        <v>0</v>
      </c>
      <c r="AK195">
        <f t="shared" si="90"/>
        <v>0</v>
      </c>
      <c r="AL195">
        <f t="shared" si="90"/>
        <v>0</v>
      </c>
      <c r="AM195">
        <f t="shared" si="90"/>
        <v>0</v>
      </c>
      <c r="AN195">
        <f t="shared" si="90"/>
        <v>0</v>
      </c>
      <c r="AO195">
        <f t="shared" si="90"/>
        <v>17.937578598376586</v>
      </c>
      <c r="AP195">
        <f t="shared" si="90"/>
        <v>0</v>
      </c>
      <c r="AQ195">
        <f t="shared" si="90"/>
        <v>0</v>
      </c>
      <c r="AR195">
        <f t="shared" si="90"/>
        <v>0</v>
      </c>
      <c r="AS195">
        <f t="shared" si="90"/>
        <v>0</v>
      </c>
      <c r="AT195">
        <f t="shared" si="90"/>
        <v>0</v>
      </c>
      <c r="AU195">
        <f t="shared" si="90"/>
        <v>0</v>
      </c>
      <c r="AV195">
        <f t="shared" si="90"/>
        <v>0</v>
      </c>
      <c r="AW195">
        <f t="shared" si="90"/>
        <v>0</v>
      </c>
      <c r="AX195">
        <f t="shared" si="90"/>
        <v>0</v>
      </c>
      <c r="AY195">
        <f t="shared" si="90"/>
        <v>0</v>
      </c>
      <c r="AZ195" s="275">
        <f t="shared" si="90"/>
        <v>0</v>
      </c>
    </row>
    <row r="196" spans="1:53">
      <c r="A196" t="s">
        <v>1077</v>
      </c>
      <c r="D196" t="s">
        <v>793</v>
      </c>
      <c r="U196" s="16">
        <v>470510</v>
      </c>
      <c r="V196" t="s">
        <v>1076</v>
      </c>
      <c r="W196" t="s">
        <v>793</v>
      </c>
      <c r="Y196" t="s">
        <v>596</v>
      </c>
      <c r="Z196" t="str">
        <f>VLOOKUP(Y196,'Price Table 8 OHB'!A:B,2,FALSE)</f>
        <v>Propulsion - HW procurements</v>
      </c>
      <c r="AC196" s="565"/>
      <c r="AZ196" s="275"/>
    </row>
    <row r="197" spans="1:53">
      <c r="D197" t="s">
        <v>966</v>
      </c>
      <c r="U197" s="16">
        <v>470510</v>
      </c>
      <c r="V197" t="s">
        <v>1076</v>
      </c>
      <c r="W197" t="s">
        <v>966</v>
      </c>
      <c r="Y197" t="s">
        <v>275</v>
      </c>
      <c r="Z197" t="str">
        <f>VLOOKUP(Y197,'Price Table 8 OHB'!A:B,2,FALSE)</f>
        <v>Propulsion - Engineering</v>
      </c>
      <c r="AC197" s="565"/>
      <c r="AZ197" s="275"/>
    </row>
    <row r="198" spans="1:53" ht="15.75" thickBot="1">
      <c r="D198" t="s">
        <v>794</v>
      </c>
      <c r="G198" s="570"/>
      <c r="H198">
        <f>H195+H196+H197</f>
        <v>0</v>
      </c>
      <c r="I198">
        <f>I195+I196+I197</f>
        <v>0</v>
      </c>
      <c r="J198">
        <f>J195+J196+J197</f>
        <v>0</v>
      </c>
      <c r="K198">
        <f t="shared" ref="K198:S198" si="91">K195+K196+K197</f>
        <v>0</v>
      </c>
      <c r="L198">
        <f t="shared" si="91"/>
        <v>17.937578598376586</v>
      </c>
      <c r="M198">
        <f t="shared" si="91"/>
        <v>0</v>
      </c>
      <c r="N198">
        <f t="shared" si="91"/>
        <v>0</v>
      </c>
      <c r="O198">
        <f t="shared" si="91"/>
        <v>0</v>
      </c>
      <c r="P198">
        <f t="shared" si="91"/>
        <v>0</v>
      </c>
      <c r="Q198">
        <f t="shared" si="91"/>
        <v>0</v>
      </c>
      <c r="R198">
        <f t="shared" si="91"/>
        <v>0</v>
      </c>
      <c r="S198">
        <f t="shared" si="91"/>
        <v>0</v>
      </c>
      <c r="T198">
        <f>SUM(H198:S198)</f>
        <v>17.937578598376586</v>
      </c>
      <c r="U198" s="16"/>
      <c r="W198" t="s">
        <v>794</v>
      </c>
      <c r="AC198" s="567">
        <f>SUM(AC195:AC197)</f>
        <v>0</v>
      </c>
      <c r="AD198" s="265">
        <f t="shared" ref="AD198:AZ198" si="92">SUM(AD195:AD197)</f>
        <v>0</v>
      </c>
      <c r="AE198" s="265">
        <f t="shared" si="92"/>
        <v>0</v>
      </c>
      <c r="AF198" s="265">
        <f t="shared" si="92"/>
        <v>0</v>
      </c>
      <c r="AG198" s="265">
        <f t="shared" si="92"/>
        <v>0</v>
      </c>
      <c r="AH198" s="265">
        <f t="shared" si="92"/>
        <v>0</v>
      </c>
      <c r="AI198" s="265">
        <f t="shared" si="92"/>
        <v>0</v>
      </c>
      <c r="AJ198" s="265">
        <f t="shared" si="92"/>
        <v>0</v>
      </c>
      <c r="AK198" s="265">
        <f t="shared" si="92"/>
        <v>0</v>
      </c>
      <c r="AL198" s="265">
        <f t="shared" si="92"/>
        <v>0</v>
      </c>
      <c r="AM198" s="265">
        <f t="shared" si="92"/>
        <v>0</v>
      </c>
      <c r="AN198" s="265">
        <f t="shared" si="92"/>
        <v>0</v>
      </c>
      <c r="AO198" s="265">
        <f t="shared" si="92"/>
        <v>17.937578598376586</v>
      </c>
      <c r="AP198" s="265">
        <f t="shared" si="92"/>
        <v>0</v>
      </c>
      <c r="AQ198" s="265">
        <f t="shared" si="92"/>
        <v>0</v>
      </c>
      <c r="AR198" s="265">
        <f t="shared" si="92"/>
        <v>0</v>
      </c>
      <c r="AS198" s="265">
        <f t="shared" si="92"/>
        <v>0</v>
      </c>
      <c r="AT198" s="265">
        <f t="shared" si="92"/>
        <v>0</v>
      </c>
      <c r="AU198" s="265">
        <f t="shared" si="92"/>
        <v>0</v>
      </c>
      <c r="AV198" s="265">
        <f t="shared" si="92"/>
        <v>0</v>
      </c>
      <c r="AW198" s="265">
        <f t="shared" si="92"/>
        <v>0</v>
      </c>
      <c r="AX198" s="265">
        <f t="shared" si="92"/>
        <v>0</v>
      </c>
      <c r="AY198" s="265">
        <f t="shared" si="92"/>
        <v>0</v>
      </c>
      <c r="AZ198" s="276">
        <f t="shared" si="92"/>
        <v>0</v>
      </c>
      <c r="BA198" s="16">
        <f>SUM(AC198:AZ198)</f>
        <v>17.937578598376586</v>
      </c>
    </row>
    <row r="199" spans="1:53" ht="15.75" thickBot="1">
      <c r="A199" s="90"/>
      <c r="B199" s="91"/>
      <c r="C199" s="90"/>
      <c r="D199" s="90"/>
      <c r="E199" s="90"/>
      <c r="F199" s="90"/>
      <c r="G199" s="90"/>
      <c r="H199" s="90"/>
      <c r="I199" s="90"/>
      <c r="J199" s="90"/>
      <c r="K199" s="90"/>
      <c r="L199" s="90"/>
      <c r="M199" s="90"/>
      <c r="N199" s="90"/>
      <c r="O199" s="90"/>
      <c r="P199" s="90"/>
      <c r="Q199" s="90"/>
      <c r="R199" s="90"/>
      <c r="S199" s="90"/>
      <c r="W199" s="94" t="s">
        <v>1078</v>
      </c>
      <c r="X199" s="94" t="s">
        <v>1040</v>
      </c>
    </row>
    <row r="200" spans="1:53">
      <c r="A200" t="s">
        <v>1079</v>
      </c>
      <c r="D200" t="s">
        <v>791</v>
      </c>
      <c r="L200">
        <v>240</v>
      </c>
      <c r="U200" s="16">
        <v>470520</v>
      </c>
      <c r="V200" t="s">
        <v>1080</v>
      </c>
      <c r="W200" t="s">
        <v>791</v>
      </c>
      <c r="AC200" s="563"/>
      <c r="AD200" s="564"/>
      <c r="AE200" s="564"/>
      <c r="AF200" s="564"/>
      <c r="AG200" s="564"/>
      <c r="AH200" s="564"/>
      <c r="AI200" s="564"/>
      <c r="AJ200" s="564"/>
      <c r="AK200" s="564"/>
      <c r="AL200" s="564"/>
      <c r="AM200" s="564"/>
      <c r="AN200" s="564"/>
      <c r="AO200" s="568">
        <f>L200</f>
        <v>240</v>
      </c>
      <c r="AP200" s="564"/>
      <c r="AQ200" s="564"/>
      <c r="AR200" s="564"/>
      <c r="AS200" s="564"/>
      <c r="AT200" s="564"/>
      <c r="AU200" s="564"/>
      <c r="AV200" s="564"/>
      <c r="AW200" s="564"/>
      <c r="AX200" s="564"/>
      <c r="AY200" s="564"/>
      <c r="AZ200" s="274"/>
    </row>
    <row r="201" spans="1:53">
      <c r="A201" t="s">
        <v>1080</v>
      </c>
      <c r="D201" t="s">
        <v>792</v>
      </c>
      <c r="H201">
        <f>H200*N30*0.001</f>
        <v>0</v>
      </c>
      <c r="I201">
        <f>I200*N30*0.001</f>
        <v>0</v>
      </c>
      <c r="K201">
        <f>K200*N30*0.001</f>
        <v>0</v>
      </c>
      <c r="L201">
        <f>L200*N30*0.001</f>
        <v>23.916771464502116</v>
      </c>
      <c r="M201">
        <f>M200*N30*0.001</f>
        <v>0</v>
      </c>
      <c r="N201">
        <f>N200*N30*0.001</f>
        <v>0</v>
      </c>
      <c r="O201">
        <f>O200*N30*0.001</f>
        <v>0</v>
      </c>
      <c r="P201">
        <f>P200*N30*0.001</f>
        <v>0</v>
      </c>
      <c r="Q201">
        <f>Q200*N30*0.001</f>
        <v>0</v>
      </c>
      <c r="R201">
        <f>R200*N30*0.001</f>
        <v>0</v>
      </c>
      <c r="S201">
        <f>S200*N30*0.001</f>
        <v>0</v>
      </c>
      <c r="U201" s="16">
        <v>470520</v>
      </c>
      <c r="V201" t="s">
        <v>1080</v>
      </c>
      <c r="W201" t="s">
        <v>792</v>
      </c>
      <c r="Y201" t="s">
        <v>275</v>
      </c>
      <c r="Z201" t="str">
        <f>VLOOKUP(Y201,'Price Table 8 OHB'!A:B,2,FALSE)</f>
        <v>Propulsion - Engineering</v>
      </c>
      <c r="AC201" s="565">
        <f>AC200*$N$30*0.001</f>
        <v>0</v>
      </c>
      <c r="AD201">
        <f t="shared" ref="AD201:AZ201" si="93">AD200*$N$30*0.001</f>
        <v>0</v>
      </c>
      <c r="AE201">
        <f t="shared" si="93"/>
        <v>0</v>
      </c>
      <c r="AF201">
        <f t="shared" si="93"/>
        <v>0</v>
      </c>
      <c r="AG201">
        <f t="shared" si="93"/>
        <v>0</v>
      </c>
      <c r="AH201">
        <f t="shared" si="93"/>
        <v>0</v>
      </c>
      <c r="AI201">
        <f t="shared" si="93"/>
        <v>0</v>
      </c>
      <c r="AJ201">
        <f t="shared" si="93"/>
        <v>0</v>
      </c>
      <c r="AK201">
        <f t="shared" si="93"/>
        <v>0</v>
      </c>
      <c r="AL201">
        <f t="shared" si="93"/>
        <v>0</v>
      </c>
      <c r="AM201">
        <f t="shared" si="93"/>
        <v>0</v>
      </c>
      <c r="AN201">
        <f t="shared" si="93"/>
        <v>0</v>
      </c>
      <c r="AO201">
        <f t="shared" si="93"/>
        <v>23.916771464502116</v>
      </c>
      <c r="AP201">
        <f t="shared" si="93"/>
        <v>0</v>
      </c>
      <c r="AQ201">
        <f t="shared" si="93"/>
        <v>0</v>
      </c>
      <c r="AR201">
        <f t="shared" si="93"/>
        <v>0</v>
      </c>
      <c r="AS201">
        <f t="shared" si="93"/>
        <v>0</v>
      </c>
      <c r="AT201">
        <f t="shared" si="93"/>
        <v>0</v>
      </c>
      <c r="AU201">
        <f t="shared" si="93"/>
        <v>0</v>
      </c>
      <c r="AV201">
        <f t="shared" si="93"/>
        <v>0</v>
      </c>
      <c r="AW201">
        <f t="shared" si="93"/>
        <v>0</v>
      </c>
      <c r="AX201">
        <f t="shared" si="93"/>
        <v>0</v>
      </c>
      <c r="AY201">
        <f t="shared" si="93"/>
        <v>0</v>
      </c>
      <c r="AZ201" s="275">
        <f t="shared" si="93"/>
        <v>0</v>
      </c>
    </row>
    <row r="202" spans="1:53">
      <c r="A202" s="17"/>
      <c r="D202" t="s">
        <v>793</v>
      </c>
      <c r="L202">
        <v>10</v>
      </c>
      <c r="U202" s="16">
        <v>470520</v>
      </c>
      <c r="V202" t="s">
        <v>1080</v>
      </c>
      <c r="W202" t="s">
        <v>793</v>
      </c>
      <c r="Y202" t="s">
        <v>596</v>
      </c>
      <c r="Z202" t="str">
        <f>VLOOKUP(Y202,'Price Table 8 OHB'!A:B,2,FALSE)</f>
        <v>Propulsion - HW procurements</v>
      </c>
      <c r="AC202" s="565"/>
      <c r="AO202">
        <f>L202</f>
        <v>10</v>
      </c>
      <c r="AZ202" s="275"/>
    </row>
    <row r="203" spans="1:53">
      <c r="C203" s="17"/>
      <c r="D203" t="s">
        <v>966</v>
      </c>
      <c r="U203" s="16">
        <v>470520</v>
      </c>
      <c r="V203" t="s">
        <v>1080</v>
      </c>
      <c r="W203" t="s">
        <v>966</v>
      </c>
      <c r="Y203" t="s">
        <v>275</v>
      </c>
      <c r="Z203" t="str">
        <f>VLOOKUP(Y203,'Price Table 8 OHB'!A:B,2,FALSE)</f>
        <v>Propulsion - Engineering</v>
      </c>
      <c r="AC203" s="565"/>
      <c r="AZ203" s="275"/>
    </row>
    <row r="204" spans="1:53" ht="15.75" thickBot="1">
      <c r="D204" t="s">
        <v>794</v>
      </c>
      <c r="G204" s="570"/>
      <c r="H204">
        <f>H201+H202+H203</f>
        <v>0</v>
      </c>
      <c r="I204">
        <f>I201+I202+I203</f>
        <v>0</v>
      </c>
      <c r="K204">
        <f t="shared" ref="K204:S204" si="94">K201+K202+K203</f>
        <v>0</v>
      </c>
      <c r="L204">
        <f t="shared" si="94"/>
        <v>33.916771464502119</v>
      </c>
      <c r="M204">
        <f t="shared" si="94"/>
        <v>0</v>
      </c>
      <c r="N204">
        <f t="shared" si="94"/>
        <v>0</v>
      </c>
      <c r="O204">
        <f t="shared" si="94"/>
        <v>0</v>
      </c>
      <c r="P204">
        <f t="shared" si="94"/>
        <v>0</v>
      </c>
      <c r="Q204">
        <f t="shared" si="94"/>
        <v>0</v>
      </c>
      <c r="R204">
        <f t="shared" si="94"/>
        <v>0</v>
      </c>
      <c r="S204">
        <f t="shared" si="94"/>
        <v>0</v>
      </c>
      <c r="T204">
        <f>SUM(H204:S204)</f>
        <v>33.916771464502119</v>
      </c>
      <c r="U204" s="16"/>
      <c r="W204" t="s">
        <v>794</v>
      </c>
      <c r="AC204" s="567">
        <f>SUM(AC201:AC203)</f>
        <v>0</v>
      </c>
      <c r="AD204" s="265">
        <f t="shared" ref="AD204:AZ204" si="95">SUM(AD201:AD202)</f>
        <v>0</v>
      </c>
      <c r="AE204" s="265">
        <f t="shared" si="95"/>
        <v>0</v>
      </c>
      <c r="AF204" s="265">
        <f t="shared" si="95"/>
        <v>0</v>
      </c>
      <c r="AG204" s="265">
        <f t="shared" si="95"/>
        <v>0</v>
      </c>
      <c r="AH204" s="265">
        <f t="shared" si="95"/>
        <v>0</v>
      </c>
      <c r="AI204" s="265">
        <f t="shared" si="95"/>
        <v>0</v>
      </c>
      <c r="AJ204" s="265">
        <f t="shared" si="95"/>
        <v>0</v>
      </c>
      <c r="AK204" s="265">
        <f t="shared" si="95"/>
        <v>0</v>
      </c>
      <c r="AL204" s="265">
        <f t="shared" si="95"/>
        <v>0</v>
      </c>
      <c r="AM204" s="265">
        <f t="shared" si="95"/>
        <v>0</v>
      </c>
      <c r="AN204" s="265">
        <f t="shared" si="95"/>
        <v>0</v>
      </c>
      <c r="AO204" s="265">
        <f t="shared" si="95"/>
        <v>33.916771464502119</v>
      </c>
      <c r="AP204" s="265">
        <f t="shared" si="95"/>
        <v>0</v>
      </c>
      <c r="AQ204" s="265">
        <f t="shared" si="95"/>
        <v>0</v>
      </c>
      <c r="AR204" s="265">
        <f t="shared" si="95"/>
        <v>0</v>
      </c>
      <c r="AS204" s="265">
        <f t="shared" si="95"/>
        <v>0</v>
      </c>
      <c r="AT204" s="265">
        <f t="shared" si="95"/>
        <v>0</v>
      </c>
      <c r="AU204" s="265">
        <f t="shared" si="95"/>
        <v>0</v>
      </c>
      <c r="AV204" s="265">
        <f t="shared" si="95"/>
        <v>0</v>
      </c>
      <c r="AW204" s="265">
        <f t="shared" si="95"/>
        <v>0</v>
      </c>
      <c r="AX204" s="265">
        <f t="shared" si="95"/>
        <v>0</v>
      </c>
      <c r="AY204" s="265">
        <f t="shared" si="95"/>
        <v>0</v>
      </c>
      <c r="AZ204" s="276">
        <f t="shared" si="95"/>
        <v>0</v>
      </c>
      <c r="BA204" s="16">
        <f>SUM(AC204:AZ204)</f>
        <v>33.916771464502119</v>
      </c>
    </row>
    <row r="205" spans="1:53" ht="15.75" thickBot="1">
      <c r="A205" s="90"/>
      <c r="B205" s="91"/>
      <c r="C205" s="90"/>
      <c r="D205" s="90"/>
      <c r="E205" s="90"/>
      <c r="F205" s="90"/>
      <c r="G205" s="90"/>
      <c r="H205" s="90"/>
      <c r="I205" s="90"/>
      <c r="J205" s="90"/>
      <c r="K205" s="90"/>
      <c r="L205" s="90"/>
      <c r="M205" s="90"/>
      <c r="N205" s="90"/>
      <c r="O205" s="90"/>
      <c r="P205" s="90"/>
      <c r="Q205" s="90"/>
      <c r="R205" s="90"/>
      <c r="S205" s="90"/>
      <c r="W205" s="94" t="s">
        <v>1081</v>
      </c>
      <c r="X205" s="94" t="s">
        <v>1040</v>
      </c>
    </row>
    <row r="206" spans="1:53">
      <c r="A206" t="s">
        <v>1082</v>
      </c>
      <c r="D206" t="s">
        <v>791</v>
      </c>
      <c r="M206">
        <v>168</v>
      </c>
      <c r="U206" s="16">
        <v>470530</v>
      </c>
      <c r="V206" t="s">
        <v>1083</v>
      </c>
      <c r="W206" t="s">
        <v>791</v>
      </c>
      <c r="AC206" s="563"/>
      <c r="AD206" s="564"/>
      <c r="AE206" s="564"/>
      <c r="AF206" s="564"/>
      <c r="AG206" s="564"/>
      <c r="AH206" s="564"/>
      <c r="AI206" s="564"/>
      <c r="AJ206" s="564"/>
      <c r="AK206" s="564"/>
      <c r="AL206" s="564"/>
      <c r="AM206" s="564"/>
      <c r="AN206" s="564"/>
      <c r="AO206" s="564"/>
      <c r="AP206" s="568">
        <f>M206</f>
        <v>168</v>
      </c>
      <c r="AQ206" s="564"/>
      <c r="AR206" s="564"/>
      <c r="AS206" s="564"/>
      <c r="AT206" s="564"/>
      <c r="AU206" s="564"/>
      <c r="AV206" s="564"/>
      <c r="AW206" s="564"/>
      <c r="AX206" s="564"/>
      <c r="AY206" s="564"/>
      <c r="AZ206" s="274"/>
    </row>
    <row r="207" spans="1:53">
      <c r="A207" t="s">
        <v>1083</v>
      </c>
      <c r="D207" t="s">
        <v>1084</v>
      </c>
      <c r="H207">
        <f>H206*N30*0.001</f>
        <v>0</v>
      </c>
      <c r="I207">
        <f>I206*N30*0.001</f>
        <v>0</v>
      </c>
      <c r="J207">
        <f>J206*N30*0.001</f>
        <v>0</v>
      </c>
      <c r="K207">
        <f>K206*N30*0.001</f>
        <v>0</v>
      </c>
      <c r="L207">
        <f>L206*N30*0.001</f>
        <v>0</v>
      </c>
      <c r="M207">
        <f>M206*N30*0.001</f>
        <v>16.741740025151483</v>
      </c>
      <c r="N207">
        <f>N206*N30*0.001</f>
        <v>0</v>
      </c>
      <c r="O207">
        <f>O206*N30*0.001</f>
        <v>0</v>
      </c>
      <c r="P207">
        <f>P206*N30*0.001</f>
        <v>0</v>
      </c>
      <c r="Q207">
        <f>Q206*N30*0.001</f>
        <v>0</v>
      </c>
      <c r="R207">
        <f>R206*N30*0.001</f>
        <v>0</v>
      </c>
      <c r="S207">
        <f>S206*N30*0.001</f>
        <v>0</v>
      </c>
      <c r="U207" s="16">
        <v>470530</v>
      </c>
      <c r="V207" t="s">
        <v>1083</v>
      </c>
      <c r="W207" t="s">
        <v>792</v>
      </c>
      <c r="Y207" t="s">
        <v>275</v>
      </c>
      <c r="Z207" t="str">
        <f>VLOOKUP(Y207,'Price Table 8 OHB'!A:B,2,FALSE)</f>
        <v>Propulsion - Engineering</v>
      </c>
      <c r="AC207" s="565">
        <f>AC206*$N$30*0.001</f>
        <v>0</v>
      </c>
      <c r="AD207">
        <f t="shared" ref="AD207:AZ207" si="96">AD206*$N$30*0.001</f>
        <v>0</v>
      </c>
      <c r="AE207">
        <f t="shared" si="96"/>
        <v>0</v>
      </c>
      <c r="AF207">
        <f t="shared" si="96"/>
        <v>0</v>
      </c>
      <c r="AG207">
        <f t="shared" si="96"/>
        <v>0</v>
      </c>
      <c r="AH207">
        <f t="shared" si="96"/>
        <v>0</v>
      </c>
      <c r="AI207">
        <f t="shared" si="96"/>
        <v>0</v>
      </c>
      <c r="AJ207">
        <f t="shared" si="96"/>
        <v>0</v>
      </c>
      <c r="AK207">
        <f t="shared" si="96"/>
        <v>0</v>
      </c>
      <c r="AL207">
        <f t="shared" si="96"/>
        <v>0</v>
      </c>
      <c r="AM207">
        <f t="shared" si="96"/>
        <v>0</v>
      </c>
      <c r="AN207">
        <f t="shared" si="96"/>
        <v>0</v>
      </c>
      <c r="AO207">
        <f t="shared" si="96"/>
        <v>0</v>
      </c>
      <c r="AP207">
        <f t="shared" si="96"/>
        <v>16.741740025151483</v>
      </c>
      <c r="AQ207">
        <f t="shared" si="96"/>
        <v>0</v>
      </c>
      <c r="AR207">
        <f t="shared" si="96"/>
        <v>0</v>
      </c>
      <c r="AS207">
        <f t="shared" si="96"/>
        <v>0</v>
      </c>
      <c r="AT207">
        <f t="shared" si="96"/>
        <v>0</v>
      </c>
      <c r="AU207">
        <f t="shared" si="96"/>
        <v>0</v>
      </c>
      <c r="AV207">
        <f t="shared" si="96"/>
        <v>0</v>
      </c>
      <c r="AW207">
        <f t="shared" si="96"/>
        <v>0</v>
      </c>
      <c r="AX207">
        <f t="shared" si="96"/>
        <v>0</v>
      </c>
      <c r="AY207">
        <f t="shared" si="96"/>
        <v>0</v>
      </c>
      <c r="AZ207" s="275">
        <f t="shared" si="96"/>
        <v>0</v>
      </c>
    </row>
    <row r="208" spans="1:53">
      <c r="D208" t="s">
        <v>793</v>
      </c>
      <c r="U208" s="16">
        <v>470530</v>
      </c>
      <c r="V208" t="s">
        <v>1083</v>
      </c>
      <c r="W208" t="s">
        <v>793</v>
      </c>
      <c r="Y208" t="s">
        <v>596</v>
      </c>
      <c r="Z208" t="str">
        <f>VLOOKUP(Y208,'Price Table 8 OHB'!A:B,2,FALSE)</f>
        <v>Propulsion - HW procurements</v>
      </c>
      <c r="AC208" s="565"/>
      <c r="AZ208" s="275"/>
    </row>
    <row r="209" spans="1:53">
      <c r="D209" t="s">
        <v>966</v>
      </c>
      <c r="U209" s="16">
        <v>470530</v>
      </c>
      <c r="V209" t="s">
        <v>1083</v>
      </c>
      <c r="W209" t="s">
        <v>966</v>
      </c>
      <c r="Y209" t="s">
        <v>275</v>
      </c>
      <c r="Z209" t="str">
        <f>VLOOKUP(Y209,'Price Table 8 OHB'!A:B,2,FALSE)</f>
        <v>Propulsion - Engineering</v>
      </c>
      <c r="AC209" s="565"/>
      <c r="AZ209" s="275"/>
    </row>
    <row r="210" spans="1:53" ht="15.75" thickBot="1">
      <c r="D210" t="s">
        <v>794</v>
      </c>
      <c r="G210" s="570"/>
      <c r="H210">
        <f>H207+H208+H209</f>
        <v>0</v>
      </c>
      <c r="I210">
        <f>I207+I208+I209</f>
        <v>0</v>
      </c>
      <c r="J210">
        <f>J207+J208+J209</f>
        <v>0</v>
      </c>
      <c r="K210">
        <f t="shared" ref="K210:S210" si="97">K207+K208+K209</f>
        <v>0</v>
      </c>
      <c r="L210">
        <f t="shared" si="97"/>
        <v>0</v>
      </c>
      <c r="M210">
        <f t="shared" si="97"/>
        <v>16.741740025151483</v>
      </c>
      <c r="N210">
        <f t="shared" si="97"/>
        <v>0</v>
      </c>
      <c r="O210">
        <f t="shared" si="97"/>
        <v>0</v>
      </c>
      <c r="P210">
        <f t="shared" si="97"/>
        <v>0</v>
      </c>
      <c r="Q210">
        <f t="shared" si="97"/>
        <v>0</v>
      </c>
      <c r="R210">
        <f t="shared" si="97"/>
        <v>0</v>
      </c>
      <c r="S210">
        <f t="shared" si="97"/>
        <v>0</v>
      </c>
      <c r="T210">
        <f>SUM(H210:S210)</f>
        <v>16.741740025151483</v>
      </c>
      <c r="U210" s="16"/>
      <c r="W210" t="s">
        <v>794</v>
      </c>
      <c r="AC210" s="567">
        <f>SUM(AC207:AC209)</f>
        <v>0</v>
      </c>
      <c r="AD210" s="265">
        <f t="shared" ref="AD210:AZ210" si="98">SUM(AD207:AD209)</f>
        <v>0</v>
      </c>
      <c r="AE210" s="265">
        <f t="shared" si="98"/>
        <v>0</v>
      </c>
      <c r="AF210" s="265">
        <f t="shared" si="98"/>
        <v>0</v>
      </c>
      <c r="AG210" s="265">
        <f t="shared" si="98"/>
        <v>0</v>
      </c>
      <c r="AH210" s="265">
        <f t="shared" si="98"/>
        <v>0</v>
      </c>
      <c r="AI210" s="265">
        <f t="shared" si="98"/>
        <v>0</v>
      </c>
      <c r="AJ210" s="265">
        <f t="shared" si="98"/>
        <v>0</v>
      </c>
      <c r="AK210" s="265">
        <f t="shared" si="98"/>
        <v>0</v>
      </c>
      <c r="AL210" s="265">
        <f t="shared" si="98"/>
        <v>0</v>
      </c>
      <c r="AM210" s="265">
        <f t="shared" si="98"/>
        <v>0</v>
      </c>
      <c r="AN210" s="265">
        <f t="shared" si="98"/>
        <v>0</v>
      </c>
      <c r="AO210" s="265">
        <f t="shared" si="98"/>
        <v>0</v>
      </c>
      <c r="AP210" s="265">
        <f t="shared" si="98"/>
        <v>16.741740025151483</v>
      </c>
      <c r="AQ210" s="265">
        <f t="shared" si="98"/>
        <v>0</v>
      </c>
      <c r="AR210" s="265">
        <f t="shared" si="98"/>
        <v>0</v>
      </c>
      <c r="AS210" s="265">
        <f t="shared" si="98"/>
        <v>0</v>
      </c>
      <c r="AT210" s="265">
        <f t="shared" si="98"/>
        <v>0</v>
      </c>
      <c r="AU210" s="265">
        <f t="shared" si="98"/>
        <v>0</v>
      </c>
      <c r="AV210" s="265">
        <f t="shared" si="98"/>
        <v>0</v>
      </c>
      <c r="AW210" s="265">
        <f t="shared" si="98"/>
        <v>0</v>
      </c>
      <c r="AX210" s="265">
        <f t="shared" si="98"/>
        <v>0</v>
      </c>
      <c r="AY210" s="265">
        <f t="shared" si="98"/>
        <v>0</v>
      </c>
      <c r="AZ210" s="276">
        <f t="shared" si="98"/>
        <v>0</v>
      </c>
      <c r="BA210" s="16">
        <f>SUM(AC210:AZ210)</f>
        <v>16.741740025151483</v>
      </c>
    </row>
    <row r="211" spans="1:53" ht="15.75" thickBot="1">
      <c r="A211" s="90"/>
      <c r="B211" s="91"/>
      <c r="C211" s="90"/>
      <c r="D211" s="90"/>
      <c r="E211" s="90"/>
      <c r="F211" s="90"/>
      <c r="G211" s="90"/>
      <c r="H211" s="90"/>
      <c r="I211" s="90"/>
      <c r="J211" s="90"/>
      <c r="K211" s="90"/>
      <c r="L211" s="90"/>
      <c r="M211" s="90"/>
      <c r="N211" s="90"/>
      <c r="O211" s="90"/>
      <c r="P211" s="90"/>
      <c r="Q211" s="90"/>
      <c r="R211" s="90"/>
      <c r="S211" s="90"/>
      <c r="W211" s="94" t="s">
        <v>1085</v>
      </c>
      <c r="X211" s="94" t="s">
        <v>1040</v>
      </c>
    </row>
    <row r="212" spans="1:53">
      <c r="A212" t="s">
        <v>1086</v>
      </c>
      <c r="D212" t="s">
        <v>791</v>
      </c>
      <c r="O212">
        <v>180</v>
      </c>
      <c r="U212" s="16">
        <v>472540</v>
      </c>
      <c r="V212" t="s">
        <v>290</v>
      </c>
      <c r="W212" t="s">
        <v>791</v>
      </c>
      <c r="AC212" s="563"/>
      <c r="AD212" s="564"/>
      <c r="AE212" s="564"/>
      <c r="AF212" s="564"/>
      <c r="AG212" s="564"/>
      <c r="AH212" s="564"/>
      <c r="AI212" s="564"/>
      <c r="AJ212" s="564"/>
      <c r="AK212" s="564"/>
      <c r="AL212" s="564"/>
      <c r="AM212" s="564"/>
      <c r="AN212" s="564"/>
      <c r="AO212" s="564"/>
      <c r="AP212" s="564"/>
      <c r="AQ212" s="568">
        <f>O212</f>
        <v>180</v>
      </c>
      <c r="AR212" s="564"/>
      <c r="AS212" s="564"/>
      <c r="AT212" s="564"/>
      <c r="AU212" s="564"/>
      <c r="AV212" s="564"/>
      <c r="AW212" s="564"/>
      <c r="AX212" s="564"/>
      <c r="AY212" s="564"/>
      <c r="AZ212" s="274"/>
    </row>
    <row r="213" spans="1:53">
      <c r="A213" t="s">
        <v>290</v>
      </c>
      <c r="D213" t="s">
        <v>1084</v>
      </c>
      <c r="H213">
        <f>H212*N30*0.001</f>
        <v>0</v>
      </c>
      <c r="I213">
        <f>I212*N30*0.001</f>
        <v>0</v>
      </c>
      <c r="J213">
        <f>J212*N30*0.001</f>
        <v>0</v>
      </c>
      <c r="K213">
        <f>K212*N30*0.001</f>
        <v>0</v>
      </c>
      <c r="L213">
        <f>L212*N30*0.001</f>
        <v>0</v>
      </c>
      <c r="M213">
        <f>M212*N30*0.001</f>
        <v>0</v>
      </c>
      <c r="N213">
        <f>N212*N30*0.001</f>
        <v>0</v>
      </c>
      <c r="O213">
        <f>O212*N30*0.001</f>
        <v>17.937578598376586</v>
      </c>
      <c r="P213">
        <f>P212*N30*0.001</f>
        <v>0</v>
      </c>
      <c r="Q213">
        <f>Q212*N30*0.001</f>
        <v>0</v>
      </c>
      <c r="R213">
        <f>R212*N30*0.001</f>
        <v>0</v>
      </c>
      <c r="S213">
        <f>S212*N30*0.001</f>
        <v>0</v>
      </c>
      <c r="U213" s="16">
        <v>472540</v>
      </c>
      <c r="V213" t="s">
        <v>290</v>
      </c>
      <c r="W213" t="s">
        <v>792</v>
      </c>
      <c r="Y213" t="s">
        <v>275</v>
      </c>
      <c r="Z213" t="str">
        <f>VLOOKUP(Y213,'Price Table 8 OHB'!A:B,2,FALSE)</f>
        <v>Propulsion - Engineering</v>
      </c>
      <c r="AC213" s="565">
        <f>AC212*$N$30*0.001</f>
        <v>0</v>
      </c>
      <c r="AD213">
        <f t="shared" ref="AD213:AZ213" si="99">AD212*$N$30*0.001</f>
        <v>0</v>
      </c>
      <c r="AE213">
        <f t="shared" si="99"/>
        <v>0</v>
      </c>
      <c r="AF213">
        <f t="shared" si="99"/>
        <v>0</v>
      </c>
      <c r="AG213">
        <f t="shared" si="99"/>
        <v>0</v>
      </c>
      <c r="AH213">
        <f t="shared" si="99"/>
        <v>0</v>
      </c>
      <c r="AI213">
        <f t="shared" si="99"/>
        <v>0</v>
      </c>
      <c r="AJ213">
        <f t="shared" si="99"/>
        <v>0</v>
      </c>
      <c r="AK213">
        <f t="shared" si="99"/>
        <v>0</v>
      </c>
      <c r="AL213">
        <f t="shared" si="99"/>
        <v>0</v>
      </c>
      <c r="AM213">
        <f t="shared" si="99"/>
        <v>0</v>
      </c>
      <c r="AN213">
        <f t="shared" si="99"/>
        <v>0</v>
      </c>
      <c r="AO213">
        <f t="shared" si="99"/>
        <v>0</v>
      </c>
      <c r="AP213">
        <f t="shared" si="99"/>
        <v>0</v>
      </c>
      <c r="AQ213">
        <f t="shared" si="99"/>
        <v>17.937578598376586</v>
      </c>
      <c r="AR213">
        <f t="shared" si="99"/>
        <v>0</v>
      </c>
      <c r="AS213">
        <f t="shared" si="99"/>
        <v>0</v>
      </c>
      <c r="AT213">
        <f t="shared" si="99"/>
        <v>0</v>
      </c>
      <c r="AU213">
        <f t="shared" si="99"/>
        <v>0</v>
      </c>
      <c r="AV213">
        <f t="shared" si="99"/>
        <v>0</v>
      </c>
      <c r="AW213">
        <f t="shared" si="99"/>
        <v>0</v>
      </c>
      <c r="AX213">
        <f t="shared" si="99"/>
        <v>0</v>
      </c>
      <c r="AY213">
        <f t="shared" si="99"/>
        <v>0</v>
      </c>
      <c r="AZ213" s="275">
        <f t="shared" si="99"/>
        <v>0</v>
      </c>
    </row>
    <row r="214" spans="1:53">
      <c r="D214" t="s">
        <v>793</v>
      </c>
      <c r="U214" s="16">
        <v>472540</v>
      </c>
      <c r="V214" t="s">
        <v>290</v>
      </c>
      <c r="W214" t="s">
        <v>793</v>
      </c>
      <c r="Y214" t="s">
        <v>596</v>
      </c>
      <c r="Z214" t="str">
        <f>VLOOKUP(Y214,'Price Table 8 OHB'!A:B,2,FALSE)</f>
        <v>Propulsion - HW procurements</v>
      </c>
      <c r="AC214" s="565"/>
      <c r="AZ214" s="275"/>
    </row>
    <row r="215" spans="1:53">
      <c r="D215" t="s">
        <v>966</v>
      </c>
      <c r="U215" s="16">
        <v>472540</v>
      </c>
      <c r="V215" t="s">
        <v>290</v>
      </c>
      <c r="W215" t="s">
        <v>966</v>
      </c>
      <c r="Y215" t="s">
        <v>275</v>
      </c>
      <c r="Z215" t="str">
        <f>VLOOKUP(Y215,'Price Table 8 OHB'!A:B,2,FALSE)</f>
        <v>Propulsion - Engineering</v>
      </c>
      <c r="AC215" s="565"/>
      <c r="AZ215" s="275"/>
    </row>
    <row r="216" spans="1:53" ht="15.75" thickBot="1">
      <c r="D216" t="s">
        <v>794</v>
      </c>
      <c r="G216" s="570"/>
      <c r="H216">
        <f>H213+H214+H215</f>
        <v>0</v>
      </c>
      <c r="I216">
        <f>I213+I214+I215</f>
        <v>0</v>
      </c>
      <c r="J216">
        <f t="shared" ref="J216:S216" si="100">J213+J214+J215</f>
        <v>0</v>
      </c>
      <c r="K216">
        <f t="shared" si="100"/>
        <v>0</v>
      </c>
      <c r="L216">
        <f t="shared" si="100"/>
        <v>0</v>
      </c>
      <c r="M216">
        <f t="shared" si="100"/>
        <v>0</v>
      </c>
      <c r="N216">
        <f t="shared" si="100"/>
        <v>0</v>
      </c>
      <c r="O216">
        <f t="shared" si="100"/>
        <v>17.937578598376586</v>
      </c>
      <c r="P216">
        <f t="shared" si="100"/>
        <v>0</v>
      </c>
      <c r="Q216">
        <f t="shared" si="100"/>
        <v>0</v>
      </c>
      <c r="R216">
        <f t="shared" si="100"/>
        <v>0</v>
      </c>
      <c r="S216">
        <f t="shared" si="100"/>
        <v>0</v>
      </c>
      <c r="T216">
        <f>SUM(H216:S216)</f>
        <v>17.937578598376586</v>
      </c>
      <c r="U216" s="16"/>
      <c r="W216" t="s">
        <v>794</v>
      </c>
      <c r="AC216" s="567">
        <f>SUM(AC213:AC215)</f>
        <v>0</v>
      </c>
      <c r="AD216" s="265">
        <f t="shared" ref="AD216:AZ216" si="101">SUM(AD213:AD215)</f>
        <v>0</v>
      </c>
      <c r="AE216" s="265">
        <f t="shared" si="101"/>
        <v>0</v>
      </c>
      <c r="AF216" s="265">
        <f t="shared" si="101"/>
        <v>0</v>
      </c>
      <c r="AG216" s="265">
        <f t="shared" si="101"/>
        <v>0</v>
      </c>
      <c r="AH216" s="265">
        <f t="shared" si="101"/>
        <v>0</v>
      </c>
      <c r="AI216" s="265">
        <f t="shared" si="101"/>
        <v>0</v>
      </c>
      <c r="AJ216" s="265">
        <f t="shared" si="101"/>
        <v>0</v>
      </c>
      <c r="AK216" s="265">
        <f t="shared" si="101"/>
        <v>0</v>
      </c>
      <c r="AL216" s="265">
        <f t="shared" si="101"/>
        <v>0</v>
      </c>
      <c r="AM216" s="265">
        <f t="shared" si="101"/>
        <v>0</v>
      </c>
      <c r="AN216" s="265">
        <f t="shared" si="101"/>
        <v>0</v>
      </c>
      <c r="AO216" s="265">
        <f t="shared" si="101"/>
        <v>0</v>
      </c>
      <c r="AP216" s="265">
        <f t="shared" si="101"/>
        <v>0</v>
      </c>
      <c r="AQ216" s="265">
        <f t="shared" si="101"/>
        <v>17.937578598376586</v>
      </c>
      <c r="AR216" s="265">
        <f t="shared" si="101"/>
        <v>0</v>
      </c>
      <c r="AS216" s="265">
        <f t="shared" si="101"/>
        <v>0</v>
      </c>
      <c r="AT216" s="265">
        <f t="shared" si="101"/>
        <v>0</v>
      </c>
      <c r="AU216" s="265">
        <f t="shared" si="101"/>
        <v>0</v>
      </c>
      <c r="AV216" s="265">
        <f t="shared" si="101"/>
        <v>0</v>
      </c>
      <c r="AW216" s="265">
        <f t="shared" si="101"/>
        <v>0</v>
      </c>
      <c r="AX216" s="265">
        <f t="shared" si="101"/>
        <v>0</v>
      </c>
      <c r="AY216" s="265">
        <f t="shared" si="101"/>
        <v>0</v>
      </c>
      <c r="AZ216" s="276">
        <f t="shared" si="101"/>
        <v>0</v>
      </c>
      <c r="BA216" s="16">
        <f>SUM(AC216:AZ216)</f>
        <v>17.937578598376586</v>
      </c>
    </row>
    <row r="217" spans="1:53" ht="15.75" thickBot="1">
      <c r="A217" s="90"/>
      <c r="B217" s="91"/>
      <c r="C217" s="90"/>
      <c r="D217" s="90"/>
      <c r="E217" s="90"/>
      <c r="F217" s="90"/>
      <c r="G217" s="90"/>
      <c r="H217" s="90"/>
      <c r="I217" s="90"/>
      <c r="J217" s="90"/>
      <c r="K217" s="90"/>
      <c r="L217" s="90"/>
      <c r="M217" s="90"/>
      <c r="N217" s="90"/>
      <c r="O217" s="90"/>
      <c r="P217" s="90"/>
      <c r="Q217" s="90"/>
      <c r="R217" s="90"/>
      <c r="S217" s="90"/>
      <c r="W217" s="94" t="s">
        <v>1087</v>
      </c>
      <c r="X217" s="94" t="s">
        <v>1040</v>
      </c>
    </row>
    <row r="218" spans="1:53">
      <c r="A218" t="s">
        <v>1088</v>
      </c>
      <c r="D218" t="s">
        <v>791</v>
      </c>
      <c r="L218">
        <v>540</v>
      </c>
      <c r="M218">
        <v>540</v>
      </c>
      <c r="U218" s="16">
        <v>470550</v>
      </c>
      <c r="V218" t="s">
        <v>1089</v>
      </c>
      <c r="W218" t="s">
        <v>791</v>
      </c>
      <c r="AC218" s="563"/>
      <c r="AD218" s="564"/>
      <c r="AE218" s="564"/>
      <c r="AF218" s="564"/>
      <c r="AG218" s="564"/>
      <c r="AH218" s="564"/>
      <c r="AI218" s="564"/>
      <c r="AJ218" s="564"/>
      <c r="AK218" s="564"/>
      <c r="AL218" s="564"/>
      <c r="AM218" s="564"/>
      <c r="AN218" s="564"/>
      <c r="AO218" s="564"/>
      <c r="AP218" s="568">
        <f>L218+M218</f>
        <v>1080</v>
      </c>
      <c r="AQ218" s="564"/>
      <c r="AR218" s="564"/>
      <c r="AS218" s="564"/>
      <c r="AT218" s="564"/>
      <c r="AU218" s="564"/>
      <c r="AV218" s="564"/>
      <c r="AW218" s="564"/>
      <c r="AX218" s="564"/>
      <c r="AY218" s="564"/>
      <c r="AZ218" s="274"/>
    </row>
    <row r="219" spans="1:53">
      <c r="A219" t="s">
        <v>1090</v>
      </c>
      <c r="D219" t="s">
        <v>1084</v>
      </c>
      <c r="H219">
        <f>H218*N30*0.001</f>
        <v>0</v>
      </c>
      <c r="I219">
        <f>I218*N30*0.001</f>
        <v>0</v>
      </c>
      <c r="J219">
        <f>J218*N30*0.001</f>
        <v>0</v>
      </c>
      <c r="K219">
        <f>K218*N30*0.001</f>
        <v>0</v>
      </c>
      <c r="L219">
        <f>L218*N30*0.001</f>
        <v>53.812735795129761</v>
      </c>
      <c r="M219">
        <f>M218*N30*0.001</f>
        <v>53.812735795129761</v>
      </c>
      <c r="N219">
        <f>N218*N30*0.001</f>
        <v>0</v>
      </c>
      <c r="O219">
        <f>O218*N30*0.001</f>
        <v>0</v>
      </c>
      <c r="P219">
        <f>P218*N30*0.001</f>
        <v>0</v>
      </c>
      <c r="Q219">
        <f>Q218*N30*0.001</f>
        <v>0</v>
      </c>
      <c r="R219">
        <f>R218*N30*0.001</f>
        <v>0</v>
      </c>
      <c r="S219">
        <f>S218*N30*0.001</f>
        <v>0</v>
      </c>
      <c r="U219" s="16">
        <v>470550</v>
      </c>
      <c r="V219" t="s">
        <v>1089</v>
      </c>
      <c r="W219" t="s">
        <v>792</v>
      </c>
      <c r="Y219" t="s">
        <v>275</v>
      </c>
      <c r="Z219" t="str">
        <f>VLOOKUP(Y219,'Price Table 8 OHB'!A:B,2,FALSE)</f>
        <v>Propulsion - Engineering</v>
      </c>
      <c r="AC219" s="565">
        <f>AC218*$N$30*0.001</f>
        <v>0</v>
      </c>
      <c r="AD219">
        <f t="shared" ref="AD219:AZ219" si="102">AD218*$N$30*0.001</f>
        <v>0</v>
      </c>
      <c r="AE219">
        <f t="shared" si="102"/>
        <v>0</v>
      </c>
      <c r="AF219">
        <f t="shared" si="102"/>
        <v>0</v>
      </c>
      <c r="AG219">
        <f t="shared" si="102"/>
        <v>0</v>
      </c>
      <c r="AH219">
        <f t="shared" si="102"/>
        <v>0</v>
      </c>
      <c r="AI219">
        <f t="shared" si="102"/>
        <v>0</v>
      </c>
      <c r="AJ219">
        <f t="shared" si="102"/>
        <v>0</v>
      </c>
      <c r="AK219">
        <f t="shared" si="102"/>
        <v>0</v>
      </c>
      <c r="AL219">
        <f t="shared" si="102"/>
        <v>0</v>
      </c>
      <c r="AM219">
        <f t="shared" si="102"/>
        <v>0</v>
      </c>
      <c r="AN219">
        <f t="shared" si="102"/>
        <v>0</v>
      </c>
      <c r="AO219">
        <f t="shared" si="102"/>
        <v>0</v>
      </c>
      <c r="AP219">
        <f t="shared" si="102"/>
        <v>107.62547159025952</v>
      </c>
      <c r="AQ219">
        <f t="shared" si="102"/>
        <v>0</v>
      </c>
      <c r="AR219">
        <f t="shared" si="102"/>
        <v>0</v>
      </c>
      <c r="AS219">
        <f t="shared" si="102"/>
        <v>0</v>
      </c>
      <c r="AT219">
        <f t="shared" si="102"/>
        <v>0</v>
      </c>
      <c r="AU219">
        <f t="shared" si="102"/>
        <v>0</v>
      </c>
      <c r="AV219">
        <f t="shared" si="102"/>
        <v>0</v>
      </c>
      <c r="AW219">
        <f t="shared" si="102"/>
        <v>0</v>
      </c>
      <c r="AX219">
        <f t="shared" si="102"/>
        <v>0</v>
      </c>
      <c r="AY219">
        <f t="shared" si="102"/>
        <v>0</v>
      </c>
      <c r="AZ219" s="275">
        <f t="shared" si="102"/>
        <v>0</v>
      </c>
    </row>
    <row r="220" spans="1:53">
      <c r="A220" t="s">
        <v>1091</v>
      </c>
      <c r="D220" t="s">
        <v>793</v>
      </c>
      <c r="L220">
        <v>118</v>
      </c>
      <c r="U220" s="16">
        <v>470550</v>
      </c>
      <c r="V220" t="s">
        <v>1089</v>
      </c>
      <c r="W220" t="s">
        <v>793</v>
      </c>
      <c r="Y220" t="s">
        <v>596</v>
      </c>
      <c r="Z220" t="str">
        <f>VLOOKUP(Y220,'Price Table 8 OHB'!A:B,2,FALSE)</f>
        <v>Propulsion - HW procurements</v>
      </c>
      <c r="AC220" s="565"/>
      <c r="AP220">
        <f>L220</f>
        <v>118</v>
      </c>
      <c r="AZ220" s="275"/>
    </row>
    <row r="221" spans="1:53">
      <c r="D221" t="s">
        <v>966</v>
      </c>
      <c r="U221" s="16">
        <v>470550</v>
      </c>
      <c r="V221" t="s">
        <v>1089</v>
      </c>
      <c r="W221" t="s">
        <v>966</v>
      </c>
      <c r="Y221" t="s">
        <v>275</v>
      </c>
      <c r="Z221" t="str">
        <f>VLOOKUP(Y221,'Price Table 8 OHB'!A:B,2,FALSE)</f>
        <v>Propulsion - Engineering</v>
      </c>
      <c r="AC221" s="565"/>
      <c r="AZ221" s="275"/>
    </row>
    <row r="222" spans="1:53" ht="15.75" thickBot="1">
      <c r="D222" t="s">
        <v>794</v>
      </c>
      <c r="G222" s="570"/>
      <c r="H222">
        <f>H219+H220+H221</f>
        <v>0</v>
      </c>
      <c r="I222">
        <f>I219+I220+I221</f>
        <v>0</v>
      </c>
      <c r="J222">
        <f t="shared" ref="J222:S222" si="103">J219+J220+J221</f>
        <v>0</v>
      </c>
      <c r="K222">
        <f t="shared" si="103"/>
        <v>0</v>
      </c>
      <c r="L222">
        <f t="shared" si="103"/>
        <v>171.81273579512975</v>
      </c>
      <c r="M222">
        <f t="shared" si="103"/>
        <v>53.812735795129761</v>
      </c>
      <c r="N222">
        <f t="shared" si="103"/>
        <v>0</v>
      </c>
      <c r="O222">
        <f t="shared" si="103"/>
        <v>0</v>
      </c>
      <c r="P222">
        <f t="shared" si="103"/>
        <v>0</v>
      </c>
      <c r="Q222">
        <f t="shared" si="103"/>
        <v>0</v>
      </c>
      <c r="R222">
        <f t="shared" si="103"/>
        <v>0</v>
      </c>
      <c r="S222">
        <f t="shared" si="103"/>
        <v>0</v>
      </c>
      <c r="T222">
        <f>SUM(H222:S222)</f>
        <v>225.62547159025951</v>
      </c>
      <c r="U222" s="16"/>
      <c r="W222" t="s">
        <v>794</v>
      </c>
      <c r="AC222" s="567">
        <f>SUM(AC219:AC221)</f>
        <v>0</v>
      </c>
      <c r="AD222" s="265">
        <f t="shared" ref="AD222:AZ222" si="104">SUM(AD219:AD221)</f>
        <v>0</v>
      </c>
      <c r="AE222" s="265">
        <f t="shared" si="104"/>
        <v>0</v>
      </c>
      <c r="AF222" s="265">
        <f t="shared" si="104"/>
        <v>0</v>
      </c>
      <c r="AG222" s="265">
        <f t="shared" si="104"/>
        <v>0</v>
      </c>
      <c r="AH222" s="265">
        <f t="shared" si="104"/>
        <v>0</v>
      </c>
      <c r="AI222" s="265">
        <f t="shared" si="104"/>
        <v>0</v>
      </c>
      <c r="AJ222" s="265">
        <f t="shared" si="104"/>
        <v>0</v>
      </c>
      <c r="AK222" s="265">
        <f t="shared" si="104"/>
        <v>0</v>
      </c>
      <c r="AL222" s="265">
        <f t="shared" si="104"/>
        <v>0</v>
      </c>
      <c r="AM222" s="265">
        <f t="shared" si="104"/>
        <v>0</v>
      </c>
      <c r="AN222" s="265">
        <f t="shared" si="104"/>
        <v>0</v>
      </c>
      <c r="AO222" s="265">
        <f t="shared" si="104"/>
        <v>0</v>
      </c>
      <c r="AP222" s="265">
        <f t="shared" si="104"/>
        <v>225.62547159025951</v>
      </c>
      <c r="AQ222" s="265">
        <f t="shared" si="104"/>
        <v>0</v>
      </c>
      <c r="AR222" s="265">
        <f t="shared" si="104"/>
        <v>0</v>
      </c>
      <c r="AS222" s="265">
        <f t="shared" si="104"/>
        <v>0</v>
      </c>
      <c r="AT222" s="265">
        <f t="shared" si="104"/>
        <v>0</v>
      </c>
      <c r="AU222" s="265">
        <f t="shared" si="104"/>
        <v>0</v>
      </c>
      <c r="AV222" s="265">
        <f t="shared" si="104"/>
        <v>0</v>
      </c>
      <c r="AW222" s="265">
        <f t="shared" si="104"/>
        <v>0</v>
      </c>
      <c r="AX222" s="265">
        <f t="shared" si="104"/>
        <v>0</v>
      </c>
      <c r="AY222" s="265">
        <f t="shared" si="104"/>
        <v>0</v>
      </c>
      <c r="AZ222" s="276">
        <f t="shared" si="104"/>
        <v>0</v>
      </c>
      <c r="BA222" s="16">
        <f>SUM(AC222:AZ222)</f>
        <v>225.62547159025951</v>
      </c>
    </row>
    <row r="223" spans="1:53" ht="15.75" thickBot="1">
      <c r="A223" s="90"/>
      <c r="B223" s="91"/>
      <c r="C223" s="90"/>
      <c r="D223" s="90"/>
      <c r="E223" s="90"/>
      <c r="F223" s="90"/>
      <c r="G223" s="90"/>
      <c r="H223" s="90"/>
      <c r="I223" s="90"/>
      <c r="J223" s="90"/>
      <c r="K223" s="90"/>
      <c r="L223" s="90"/>
      <c r="M223" s="90"/>
      <c r="N223" s="90"/>
      <c r="O223" s="90"/>
      <c r="P223" s="90"/>
      <c r="Q223" s="90"/>
      <c r="R223" s="90"/>
      <c r="S223" s="90"/>
      <c r="W223" s="94" t="s">
        <v>1092</v>
      </c>
      <c r="X223" s="94" t="s">
        <v>1040</v>
      </c>
    </row>
    <row r="224" spans="1:53">
      <c r="A224" t="s">
        <v>1093</v>
      </c>
      <c r="D224" t="s">
        <v>791</v>
      </c>
      <c r="I224">
        <v>600</v>
      </c>
      <c r="J224">
        <v>480</v>
      </c>
      <c r="K224">
        <v>480</v>
      </c>
      <c r="L224">
        <v>550</v>
      </c>
      <c r="M224">
        <v>50</v>
      </c>
      <c r="U224" s="16">
        <v>470560</v>
      </c>
      <c r="V224" t="s">
        <v>1094</v>
      </c>
      <c r="W224" t="s">
        <v>791</v>
      </c>
      <c r="AC224" s="563"/>
      <c r="AD224" s="564"/>
      <c r="AE224" s="564"/>
      <c r="AF224" s="564"/>
      <c r="AG224" s="564"/>
      <c r="AH224" s="564"/>
      <c r="AI224" s="564"/>
      <c r="AJ224" s="568">
        <f>I224</f>
        <v>600</v>
      </c>
      <c r="AK224" s="568">
        <f>J224</f>
        <v>480</v>
      </c>
      <c r="AL224" s="568">
        <f>K224</f>
        <v>480</v>
      </c>
      <c r="AM224" s="568">
        <f>L224</f>
        <v>550</v>
      </c>
      <c r="AN224" s="568">
        <f>M224</f>
        <v>50</v>
      </c>
      <c r="AO224" s="564"/>
      <c r="AP224" s="564"/>
      <c r="AQ224" s="564"/>
      <c r="AR224" s="564"/>
      <c r="AS224" s="564"/>
      <c r="AT224" s="564"/>
      <c r="AU224" s="564"/>
      <c r="AV224" s="564"/>
      <c r="AW224" s="564"/>
      <c r="AX224" s="564"/>
      <c r="AY224" s="564"/>
      <c r="AZ224" s="274"/>
    </row>
    <row r="225" spans="1:53">
      <c r="A225" t="s">
        <v>1094</v>
      </c>
      <c r="D225" t="s">
        <v>792</v>
      </c>
      <c r="H225">
        <f>H224*N30*0.001</f>
        <v>0</v>
      </c>
      <c r="I225">
        <f>I224*N30*0.001</f>
        <v>59.791928661255291</v>
      </c>
      <c r="J225">
        <f>J224*N30*0.001</f>
        <v>47.833542929004231</v>
      </c>
      <c r="K225">
        <f>K224*N30*0.001</f>
        <v>47.833542929004231</v>
      </c>
      <c r="L225">
        <f>L224*N30*0.001</f>
        <v>54.809267939484016</v>
      </c>
      <c r="M225">
        <f>M224*N30*0.001</f>
        <v>4.9826607217712748</v>
      </c>
      <c r="N225">
        <f>N224*N30*0.001</f>
        <v>0</v>
      </c>
      <c r="O225">
        <f>O224*N30*0.001</f>
        <v>0</v>
      </c>
      <c r="P225">
        <f>P224*N30*0.001</f>
        <v>0</v>
      </c>
      <c r="Q225">
        <f>Q224*N30*0.001</f>
        <v>0</v>
      </c>
      <c r="R225">
        <f>R224*N30*0.001</f>
        <v>0</v>
      </c>
      <c r="S225">
        <f>S224*N30*0.001</f>
        <v>0</v>
      </c>
      <c r="U225" s="16">
        <v>470560</v>
      </c>
      <c r="V225" t="s">
        <v>1094</v>
      </c>
      <c r="W225" t="s">
        <v>792</v>
      </c>
      <c r="Y225" t="s">
        <v>275</v>
      </c>
      <c r="Z225" t="str">
        <f>VLOOKUP(Y225,'Price Table 8 OHB'!A:B,2,FALSE)</f>
        <v>Propulsion - Engineering</v>
      </c>
      <c r="AC225" s="565">
        <f>AC224*$N$30*0.001</f>
        <v>0</v>
      </c>
      <c r="AD225">
        <f t="shared" ref="AD225:AZ225" si="105">AD224*$N$30*0.001</f>
        <v>0</v>
      </c>
      <c r="AE225">
        <f t="shared" si="105"/>
        <v>0</v>
      </c>
      <c r="AF225">
        <f t="shared" si="105"/>
        <v>0</v>
      </c>
      <c r="AG225">
        <f t="shared" si="105"/>
        <v>0</v>
      </c>
      <c r="AH225">
        <f t="shared" si="105"/>
        <v>0</v>
      </c>
      <c r="AI225">
        <f t="shared" si="105"/>
        <v>0</v>
      </c>
      <c r="AJ225">
        <f t="shared" si="105"/>
        <v>59.791928661255291</v>
      </c>
      <c r="AK225">
        <f t="shared" si="105"/>
        <v>47.833542929004231</v>
      </c>
      <c r="AL225">
        <f t="shared" si="105"/>
        <v>47.833542929004231</v>
      </c>
      <c r="AM225">
        <f t="shared" si="105"/>
        <v>54.809267939484016</v>
      </c>
      <c r="AN225">
        <f t="shared" si="105"/>
        <v>4.9826607217712748</v>
      </c>
      <c r="AO225">
        <f t="shared" si="105"/>
        <v>0</v>
      </c>
      <c r="AP225">
        <f t="shared" si="105"/>
        <v>0</v>
      </c>
      <c r="AQ225">
        <f t="shared" si="105"/>
        <v>0</v>
      </c>
      <c r="AR225">
        <f t="shared" si="105"/>
        <v>0</v>
      </c>
      <c r="AS225">
        <f t="shared" si="105"/>
        <v>0</v>
      </c>
      <c r="AT225">
        <f t="shared" si="105"/>
        <v>0</v>
      </c>
      <c r="AU225">
        <f t="shared" si="105"/>
        <v>0</v>
      </c>
      <c r="AV225">
        <f t="shared" si="105"/>
        <v>0</v>
      </c>
      <c r="AW225">
        <f t="shared" si="105"/>
        <v>0</v>
      </c>
      <c r="AX225">
        <f t="shared" si="105"/>
        <v>0</v>
      </c>
      <c r="AY225">
        <f t="shared" si="105"/>
        <v>0</v>
      </c>
      <c r="AZ225" s="275">
        <f t="shared" si="105"/>
        <v>0</v>
      </c>
    </row>
    <row r="226" spans="1:53">
      <c r="D226" t="s">
        <v>793</v>
      </c>
      <c r="I226">
        <f>I386+I393+I398+I407+I416+I422</f>
        <v>252.5</v>
      </c>
      <c r="J226">
        <f>J386+J393+J398+J407+J416+J422</f>
        <v>536</v>
      </c>
      <c r="K226">
        <f>K386+K393+K398+K407+K416+K422</f>
        <v>712.7</v>
      </c>
      <c r="L226">
        <f>L386+L393+L398+L407+L416+L422</f>
        <v>720.8</v>
      </c>
      <c r="M226">
        <f>M386+M393+M398+M407+M417+M422</f>
        <v>217.60000000000002</v>
      </c>
      <c r="U226" s="16">
        <v>470560</v>
      </c>
      <c r="V226" t="s">
        <v>1094</v>
      </c>
      <c r="W226" t="s">
        <v>793</v>
      </c>
      <c r="Y226" t="s">
        <v>596</v>
      </c>
      <c r="Z226" t="str">
        <f>VLOOKUP(Y226,'Price Table 8 OHB'!A:B,2,FALSE)</f>
        <v>Propulsion - HW procurements</v>
      </c>
      <c r="AC226" s="565"/>
      <c r="AJ226">
        <f t="shared" ref="AJ226:AN227" si="106">I226</f>
        <v>252.5</v>
      </c>
      <c r="AK226">
        <f t="shared" si="106"/>
        <v>536</v>
      </c>
      <c r="AL226">
        <f t="shared" si="106"/>
        <v>712.7</v>
      </c>
      <c r="AM226">
        <f t="shared" si="106"/>
        <v>720.8</v>
      </c>
      <c r="AN226">
        <f t="shared" si="106"/>
        <v>217.60000000000002</v>
      </c>
      <c r="AZ226" s="275"/>
    </row>
    <row r="227" spans="1:53">
      <c r="D227" t="s">
        <v>966</v>
      </c>
      <c r="I227">
        <v>12</v>
      </c>
      <c r="J227">
        <v>12</v>
      </c>
      <c r="K227">
        <v>12</v>
      </c>
      <c r="L227">
        <v>12</v>
      </c>
      <c r="M227">
        <v>4</v>
      </c>
      <c r="U227" s="16">
        <v>470560</v>
      </c>
      <c r="V227" t="s">
        <v>1094</v>
      </c>
      <c r="W227" t="s">
        <v>966</v>
      </c>
      <c r="Y227" t="s">
        <v>275</v>
      </c>
      <c r="Z227" t="str">
        <f>VLOOKUP(Y227,'Price Table 8 OHB'!A:B,2,FALSE)</f>
        <v>Propulsion - Engineering</v>
      </c>
      <c r="AC227" s="565"/>
      <c r="AJ227">
        <f t="shared" si="106"/>
        <v>12</v>
      </c>
      <c r="AK227">
        <f t="shared" si="106"/>
        <v>12</v>
      </c>
      <c r="AL227">
        <f t="shared" si="106"/>
        <v>12</v>
      </c>
      <c r="AM227">
        <f t="shared" si="106"/>
        <v>12</v>
      </c>
      <c r="AN227">
        <f t="shared" si="106"/>
        <v>4</v>
      </c>
      <c r="AZ227" s="275"/>
    </row>
    <row r="228" spans="1:53" ht="15.75" thickBot="1">
      <c r="D228" t="s">
        <v>794</v>
      </c>
      <c r="G228" s="570"/>
      <c r="H228">
        <f>H225+H226+H227</f>
        <v>0</v>
      </c>
      <c r="I228">
        <f>I225+I226+I227</f>
        <v>324.29192866125527</v>
      </c>
      <c r="J228">
        <f t="shared" ref="J228:S228" si="107">J225+J226+J227</f>
        <v>595.83354292900424</v>
      </c>
      <c r="K228">
        <f t="shared" si="107"/>
        <v>772.53354292900428</v>
      </c>
      <c r="L228">
        <f t="shared" si="107"/>
        <v>787.60926793948397</v>
      </c>
      <c r="M228">
        <f t="shared" si="107"/>
        <v>226.5826607217713</v>
      </c>
      <c r="N228">
        <f t="shared" si="107"/>
        <v>0</v>
      </c>
      <c r="O228">
        <f t="shared" si="107"/>
        <v>0</v>
      </c>
      <c r="P228">
        <f t="shared" si="107"/>
        <v>0</v>
      </c>
      <c r="Q228">
        <f t="shared" si="107"/>
        <v>0</v>
      </c>
      <c r="R228">
        <f t="shared" si="107"/>
        <v>0</v>
      </c>
      <c r="S228">
        <f t="shared" si="107"/>
        <v>0</v>
      </c>
      <c r="T228">
        <f>SUM(H228:S228)</f>
        <v>2706.8509431805192</v>
      </c>
      <c r="U228" s="16"/>
      <c r="W228" t="s">
        <v>794</v>
      </c>
      <c r="AC228" s="567">
        <f>SUM(AC225:AC227)</f>
        <v>0</v>
      </c>
      <c r="AD228" s="265">
        <f t="shared" ref="AD228:AZ228" si="108">SUM(AD225:AD227)</f>
        <v>0</v>
      </c>
      <c r="AE228" s="265">
        <f t="shared" si="108"/>
        <v>0</v>
      </c>
      <c r="AF228" s="265">
        <f t="shared" si="108"/>
        <v>0</v>
      </c>
      <c r="AG228" s="265">
        <f t="shared" si="108"/>
        <v>0</v>
      </c>
      <c r="AH228" s="265">
        <f t="shared" si="108"/>
        <v>0</v>
      </c>
      <c r="AI228" s="265">
        <f t="shared" si="108"/>
        <v>0</v>
      </c>
      <c r="AJ228" s="265">
        <f t="shared" si="108"/>
        <v>324.29192866125527</v>
      </c>
      <c r="AK228" s="265">
        <f t="shared" si="108"/>
        <v>595.83354292900424</v>
      </c>
      <c r="AL228" s="265">
        <f t="shared" si="108"/>
        <v>772.53354292900428</v>
      </c>
      <c r="AM228" s="265">
        <f t="shared" si="108"/>
        <v>787.60926793948397</v>
      </c>
      <c r="AN228" s="265">
        <f t="shared" si="108"/>
        <v>226.5826607217713</v>
      </c>
      <c r="AO228" s="265">
        <f t="shared" si="108"/>
        <v>0</v>
      </c>
      <c r="AP228" s="265">
        <f t="shared" si="108"/>
        <v>0</v>
      </c>
      <c r="AQ228" s="265">
        <f t="shared" si="108"/>
        <v>0</v>
      </c>
      <c r="AR228" s="265">
        <f t="shared" si="108"/>
        <v>0</v>
      </c>
      <c r="AS228" s="265">
        <f t="shared" si="108"/>
        <v>0</v>
      </c>
      <c r="AT228" s="265">
        <f t="shared" si="108"/>
        <v>0</v>
      </c>
      <c r="AU228" s="265">
        <f t="shared" si="108"/>
        <v>0</v>
      </c>
      <c r="AV228" s="265">
        <f t="shared" si="108"/>
        <v>0</v>
      </c>
      <c r="AW228" s="265">
        <f t="shared" si="108"/>
        <v>0</v>
      </c>
      <c r="AX228" s="265">
        <f t="shared" si="108"/>
        <v>0</v>
      </c>
      <c r="AY228" s="265">
        <f t="shared" si="108"/>
        <v>0</v>
      </c>
      <c r="AZ228" s="276">
        <f t="shared" si="108"/>
        <v>0</v>
      </c>
      <c r="BA228" s="16">
        <f>SUM(AC228:AZ228)</f>
        <v>2706.8509431805192</v>
      </c>
    </row>
    <row r="229" spans="1:53" ht="15.75" thickBot="1">
      <c r="A229" s="73"/>
      <c r="B229" s="70"/>
      <c r="C229" s="73"/>
      <c r="D229" s="73"/>
      <c r="E229" s="73"/>
      <c r="F229" s="73"/>
      <c r="G229" s="566"/>
      <c r="H229" s="73"/>
      <c r="I229" s="73"/>
      <c r="J229" s="73"/>
      <c r="K229" s="73"/>
      <c r="L229" s="73"/>
      <c r="M229" s="73"/>
      <c r="N229" s="73"/>
      <c r="O229" s="73"/>
      <c r="P229" s="73"/>
      <c r="Q229" s="73"/>
      <c r="R229" s="73"/>
      <c r="S229" s="73"/>
      <c r="W229" s="72" t="s">
        <v>1095</v>
      </c>
    </row>
    <row r="230" spans="1:53">
      <c r="A230" s="73" t="s">
        <v>1095</v>
      </c>
      <c r="B230" s="70"/>
      <c r="C230" s="73"/>
      <c r="D230" s="73" t="s">
        <v>791</v>
      </c>
      <c r="E230" s="73"/>
      <c r="F230" s="73"/>
      <c r="G230" s="566"/>
      <c r="H230" s="73">
        <f>H146+H152+H158+H164+H170+H176+H182+H188+H194+H200+H206+H212+H218+H224</f>
        <v>0</v>
      </c>
      <c r="I230" s="73">
        <f>I146+I152+I158+I164+I170+I176+I182+I188+I194+I200+I206+I212+I218+I224</f>
        <v>1080</v>
      </c>
      <c r="J230" s="73">
        <f t="shared" ref="J230:O230" si="109">J146+J152+J158+J164+J170+J176+J182+J188+J194+J200+J206+J212+J218+J224</f>
        <v>1620</v>
      </c>
      <c r="K230" s="73">
        <f t="shared" si="109"/>
        <v>1380</v>
      </c>
      <c r="L230" s="73">
        <f t="shared" si="109"/>
        <v>4210</v>
      </c>
      <c r="M230" s="73">
        <f t="shared" si="109"/>
        <v>1238</v>
      </c>
      <c r="N230" s="73">
        <f t="shared" si="109"/>
        <v>0</v>
      </c>
      <c r="O230" s="73">
        <f t="shared" si="109"/>
        <v>180</v>
      </c>
      <c r="P230" s="73">
        <f>P146+P152+P158+P164+P170+P176+P182+P188+P194+P200+P206+P212+P218+P224</f>
        <v>0</v>
      </c>
      <c r="Q230" s="73">
        <f>Q146+Q152+Q158+Q164+Q170+Q176+Q182+Q188+Q194+Q200+Q206+Q212+Q218+Q224</f>
        <v>0</v>
      </c>
      <c r="R230" s="73">
        <f>R146+R152+R158+R164+R170+R176+R182+R188+R194+R200+R206+R212+R218+R224</f>
        <v>0</v>
      </c>
      <c r="S230" s="73">
        <f>S146+S152+S158+S164+S170+S176+S182+S188+S194+S200+S206+S212+S218+S224</f>
        <v>0</v>
      </c>
      <c r="V230" s="72" t="s">
        <v>1095</v>
      </c>
      <c r="W230" s="73" t="s">
        <v>791</v>
      </c>
      <c r="AC230" s="571">
        <f>SUM(AC146,AC152,AC158,AC164,AC170,AC176,AC182,AC188,AC194,AC200,AC206,AC212,AC218,AC224)</f>
        <v>0</v>
      </c>
      <c r="AD230" s="572">
        <f t="shared" ref="AD230:AZ230" si="110">SUM(AD146,AD152,AD158,AD164,AD170,AD176,AD182,AD188,AD194,AD200,AD206,AD212,AD218,AD224)</f>
        <v>0</v>
      </c>
      <c r="AE230" s="572">
        <f t="shared" si="110"/>
        <v>240</v>
      </c>
      <c r="AF230" s="572">
        <f t="shared" si="110"/>
        <v>300</v>
      </c>
      <c r="AG230" s="572">
        <f t="shared" si="110"/>
        <v>390</v>
      </c>
      <c r="AH230" s="572">
        <f t="shared" si="110"/>
        <v>1300</v>
      </c>
      <c r="AI230" s="572">
        <f t="shared" si="110"/>
        <v>1150</v>
      </c>
      <c r="AJ230" s="572">
        <f t="shared" si="110"/>
        <v>1510</v>
      </c>
      <c r="AK230" s="572">
        <f t="shared" si="110"/>
        <v>690</v>
      </c>
      <c r="AL230" s="572">
        <f t="shared" si="110"/>
        <v>1200</v>
      </c>
      <c r="AM230" s="572">
        <f t="shared" si="110"/>
        <v>1030</v>
      </c>
      <c r="AN230" s="572">
        <f t="shared" si="110"/>
        <v>50</v>
      </c>
      <c r="AO230" s="572">
        <f t="shared" si="110"/>
        <v>420</v>
      </c>
      <c r="AP230" s="572">
        <f t="shared" si="110"/>
        <v>1248</v>
      </c>
      <c r="AQ230" s="572">
        <f t="shared" si="110"/>
        <v>180</v>
      </c>
      <c r="AR230" s="572">
        <f t="shared" si="110"/>
        <v>0</v>
      </c>
      <c r="AS230" s="572">
        <f t="shared" si="110"/>
        <v>0</v>
      </c>
      <c r="AT230" s="572">
        <f t="shared" si="110"/>
        <v>0</v>
      </c>
      <c r="AU230" s="572">
        <f t="shared" si="110"/>
        <v>0</v>
      </c>
      <c r="AV230" s="572">
        <f t="shared" si="110"/>
        <v>0</v>
      </c>
      <c r="AW230" s="572">
        <f t="shared" si="110"/>
        <v>0</v>
      </c>
      <c r="AX230" s="572">
        <f t="shared" si="110"/>
        <v>0</v>
      </c>
      <c r="AY230" s="572">
        <f t="shared" si="110"/>
        <v>0</v>
      </c>
      <c r="AZ230" s="573">
        <f t="shared" si="110"/>
        <v>0</v>
      </c>
      <c r="BA230">
        <f>SUM(AC230:AZ230)</f>
        <v>9708</v>
      </c>
    </row>
    <row r="231" spans="1:53">
      <c r="A231" s="73"/>
      <c r="B231" s="70"/>
      <c r="C231" s="73"/>
      <c r="D231" s="73" t="s">
        <v>792</v>
      </c>
      <c r="E231" s="73"/>
      <c r="F231" s="73"/>
      <c r="G231" s="566"/>
      <c r="H231" s="73">
        <f>H230*N30*0.001</f>
        <v>0</v>
      </c>
      <c r="I231" s="73">
        <f>I230*N30*0.001</f>
        <v>107.62547159025952</v>
      </c>
      <c r="J231" s="73">
        <f>J230*N30*0.001</f>
        <v>161.43820738538929</v>
      </c>
      <c r="K231" s="73">
        <f>K230*N30*0.001</f>
        <v>137.52143592088717</v>
      </c>
      <c r="L231" s="73">
        <f>L230*N30*0.001</f>
        <v>419.54003277314132</v>
      </c>
      <c r="M231" s="73">
        <f>M230*N30*0.001</f>
        <v>123.37067947105675</v>
      </c>
      <c r="N231" s="73">
        <f>N230*N30*0.001</f>
        <v>0</v>
      </c>
      <c r="O231" s="73">
        <f>O230*N30*0.001</f>
        <v>17.937578598376586</v>
      </c>
      <c r="P231" s="73">
        <f>P230*N30*0.001</f>
        <v>0</v>
      </c>
      <c r="Q231" s="73">
        <f>Q230*N30*0.001</f>
        <v>0</v>
      </c>
      <c r="R231" s="73">
        <f>R230*N30*0.001</f>
        <v>0</v>
      </c>
      <c r="S231" s="73">
        <f>S230*N30*0.001</f>
        <v>0</v>
      </c>
      <c r="V231" s="72" t="s">
        <v>1095</v>
      </c>
      <c r="W231" s="73" t="s">
        <v>792</v>
      </c>
      <c r="AC231" s="574">
        <f t="shared" ref="AC231:AZ234" si="111">SUM(AC147,AC153,AC159,AC165,AC171,AC177,AC183,AC189,AC195,AC201,AC207,AC213,AC219,AC225)</f>
        <v>0</v>
      </c>
      <c r="AD231" s="73">
        <f t="shared" si="111"/>
        <v>0</v>
      </c>
      <c r="AE231" s="73">
        <f t="shared" si="111"/>
        <v>23.916771464502116</v>
      </c>
      <c r="AF231" s="73">
        <f t="shared" si="111"/>
        <v>29.895964330627645</v>
      </c>
      <c r="AG231" s="73">
        <f t="shared" si="111"/>
        <v>38.864753629815937</v>
      </c>
      <c r="AH231" s="73">
        <f t="shared" si="111"/>
        <v>129.54917876605313</v>
      </c>
      <c r="AI231" s="73">
        <f t="shared" si="111"/>
        <v>114.60119660073931</v>
      </c>
      <c r="AJ231" s="73">
        <f t="shared" si="111"/>
        <v>150.47635379749249</v>
      </c>
      <c r="AK231" s="73">
        <f t="shared" si="111"/>
        <v>68.760717960443586</v>
      </c>
      <c r="AL231" s="73">
        <f t="shared" si="111"/>
        <v>119.58385732251057</v>
      </c>
      <c r="AM231" s="73">
        <f t="shared" si="111"/>
        <v>102.64281086848825</v>
      </c>
      <c r="AN231" s="73">
        <f t="shared" si="111"/>
        <v>4.9826607217712748</v>
      </c>
      <c r="AO231" s="73">
        <f t="shared" si="111"/>
        <v>41.854350062878702</v>
      </c>
      <c r="AP231" s="73">
        <f t="shared" si="111"/>
        <v>124.36721161541101</v>
      </c>
      <c r="AQ231" s="73">
        <f t="shared" si="111"/>
        <v>17.937578598376586</v>
      </c>
      <c r="AR231" s="73">
        <f t="shared" si="111"/>
        <v>0</v>
      </c>
      <c r="AS231" s="73">
        <f t="shared" si="111"/>
        <v>0</v>
      </c>
      <c r="AT231" s="73">
        <f t="shared" si="111"/>
        <v>0</v>
      </c>
      <c r="AU231" s="73">
        <f t="shared" si="111"/>
        <v>0</v>
      </c>
      <c r="AV231" s="73">
        <f t="shared" si="111"/>
        <v>0</v>
      </c>
      <c r="AW231" s="73">
        <f t="shared" si="111"/>
        <v>0</v>
      </c>
      <c r="AX231" s="73">
        <f t="shared" si="111"/>
        <v>0</v>
      </c>
      <c r="AY231" s="73">
        <f t="shared" si="111"/>
        <v>0</v>
      </c>
      <c r="AZ231" s="575">
        <f t="shared" si="111"/>
        <v>0</v>
      </c>
      <c r="BA231">
        <f t="shared" ref="BA231:BA234" si="112">SUM(AC231:AZ231)</f>
        <v>967.43340573911064</v>
      </c>
    </row>
    <row r="232" spans="1:53">
      <c r="A232" s="73"/>
      <c r="B232" s="70"/>
      <c r="C232" s="73"/>
      <c r="D232" s="73" t="s">
        <v>793</v>
      </c>
      <c r="E232" s="73"/>
      <c r="F232" s="73"/>
      <c r="G232" s="566"/>
      <c r="H232" s="73">
        <f>H148+H154+H160+H166+H172+H178+H184+H190+H196+H202+H208+H214+H220+H226</f>
        <v>0</v>
      </c>
      <c r="I232" s="73">
        <f>I148+I154+I160+I166+I172+I178+I184+I190+I196+I202+I208+I214+I220+I226</f>
        <v>252.5</v>
      </c>
      <c r="J232" s="73">
        <f t="shared" ref="J232:S233" si="113">J148+J154+J160+J166+J172+J178+J184+J190+J196+J202+J208+J214+J220+J226</f>
        <v>536</v>
      </c>
      <c r="K232" s="73">
        <f t="shared" si="113"/>
        <v>712.7</v>
      </c>
      <c r="L232" s="73">
        <f t="shared" si="113"/>
        <v>973.8</v>
      </c>
      <c r="M232" s="73">
        <f t="shared" si="113"/>
        <v>217.60000000000002</v>
      </c>
      <c r="N232" s="73">
        <f t="shared" si="113"/>
        <v>0</v>
      </c>
      <c r="O232" s="73">
        <f t="shared" si="113"/>
        <v>0</v>
      </c>
      <c r="P232" s="73">
        <f t="shared" si="113"/>
        <v>0</v>
      </c>
      <c r="Q232" s="73">
        <f t="shared" si="113"/>
        <v>0</v>
      </c>
      <c r="R232" s="73">
        <f t="shared" si="113"/>
        <v>0</v>
      </c>
      <c r="S232" s="73">
        <f t="shared" si="113"/>
        <v>0</v>
      </c>
      <c r="V232" s="72" t="s">
        <v>1095</v>
      </c>
      <c r="W232" s="73" t="s">
        <v>793</v>
      </c>
      <c r="AC232" s="574">
        <f t="shared" si="111"/>
        <v>0</v>
      </c>
      <c r="AD232" s="73">
        <f t="shared" si="111"/>
        <v>0</v>
      </c>
      <c r="AE232" s="73">
        <f t="shared" si="111"/>
        <v>0</v>
      </c>
      <c r="AF232" s="73">
        <f t="shared" si="111"/>
        <v>0</v>
      </c>
      <c r="AG232" s="73">
        <f t="shared" si="111"/>
        <v>10</v>
      </c>
      <c r="AH232" s="73">
        <f t="shared" si="111"/>
        <v>105</v>
      </c>
      <c r="AI232" s="73">
        <f t="shared" si="111"/>
        <v>0</v>
      </c>
      <c r="AJ232" s="73">
        <f t="shared" si="111"/>
        <v>252.5</v>
      </c>
      <c r="AK232" s="73">
        <f t="shared" si="111"/>
        <v>536</v>
      </c>
      <c r="AL232" s="73">
        <f t="shared" si="111"/>
        <v>722.7</v>
      </c>
      <c r="AM232" s="73">
        <f t="shared" si="111"/>
        <v>720.8</v>
      </c>
      <c r="AN232" s="73">
        <f t="shared" si="111"/>
        <v>217.60000000000002</v>
      </c>
      <c r="AO232" s="73">
        <f t="shared" si="111"/>
        <v>10</v>
      </c>
      <c r="AP232" s="73">
        <f t="shared" si="111"/>
        <v>118</v>
      </c>
      <c r="AQ232" s="73">
        <f t="shared" si="111"/>
        <v>0</v>
      </c>
      <c r="AR232" s="73">
        <f t="shared" si="111"/>
        <v>0</v>
      </c>
      <c r="AS232" s="73">
        <f t="shared" si="111"/>
        <v>0</v>
      </c>
      <c r="AT232" s="73">
        <f t="shared" si="111"/>
        <v>0</v>
      </c>
      <c r="AU232" s="73">
        <f t="shared" si="111"/>
        <v>0</v>
      </c>
      <c r="AV232" s="73">
        <f t="shared" si="111"/>
        <v>0</v>
      </c>
      <c r="AW232" s="73">
        <f t="shared" si="111"/>
        <v>0</v>
      </c>
      <c r="AX232" s="73">
        <f t="shared" si="111"/>
        <v>0</v>
      </c>
      <c r="AY232" s="73">
        <f t="shared" si="111"/>
        <v>0</v>
      </c>
      <c r="AZ232" s="575">
        <f t="shared" si="111"/>
        <v>0</v>
      </c>
      <c r="BA232">
        <f t="shared" si="112"/>
        <v>2692.6</v>
      </c>
    </row>
    <row r="233" spans="1:53">
      <c r="A233" s="73"/>
      <c r="B233" s="70"/>
      <c r="C233" s="73"/>
      <c r="D233" s="73" t="s">
        <v>966</v>
      </c>
      <c r="E233" s="73"/>
      <c r="F233" s="73"/>
      <c r="G233" s="566"/>
      <c r="H233" s="73">
        <f>H149+H155+H161+H167+H173+H179+H185+H191+H197+H203+H209+H215+H221+H227</f>
        <v>0</v>
      </c>
      <c r="I233" s="73">
        <f>I149+I155+I161+I167+I173+I179+I185+I191+I197+I203+I209+I215+I221+I227</f>
        <v>12</v>
      </c>
      <c r="J233" s="73">
        <f t="shared" si="113"/>
        <v>12</v>
      </c>
      <c r="K233" s="73">
        <f t="shared" si="113"/>
        <v>12</v>
      </c>
      <c r="L233" s="73">
        <f t="shared" si="113"/>
        <v>12</v>
      </c>
      <c r="M233" s="73">
        <f t="shared" si="113"/>
        <v>4</v>
      </c>
      <c r="N233" s="73">
        <f t="shared" si="113"/>
        <v>0</v>
      </c>
      <c r="O233" s="73">
        <f t="shared" si="113"/>
        <v>0</v>
      </c>
      <c r="P233" s="73">
        <f t="shared" si="113"/>
        <v>0</v>
      </c>
      <c r="Q233" s="73">
        <f t="shared" si="113"/>
        <v>0</v>
      </c>
      <c r="R233" s="73">
        <f t="shared" si="113"/>
        <v>0</v>
      </c>
      <c r="S233" s="73">
        <f t="shared" si="113"/>
        <v>0</v>
      </c>
      <c r="V233" s="72" t="s">
        <v>1095</v>
      </c>
      <c r="W233" s="73" t="s">
        <v>966</v>
      </c>
      <c r="AC233" s="574">
        <f t="shared" si="111"/>
        <v>0</v>
      </c>
      <c r="AD233" s="73">
        <f t="shared" si="111"/>
        <v>0</v>
      </c>
      <c r="AE233" s="73">
        <f t="shared" si="111"/>
        <v>0</v>
      </c>
      <c r="AF233" s="73">
        <f t="shared" si="111"/>
        <v>0</v>
      </c>
      <c r="AG233" s="73">
        <f t="shared" si="111"/>
        <v>0</v>
      </c>
      <c r="AH233" s="73">
        <f t="shared" si="111"/>
        <v>0</v>
      </c>
      <c r="AI233" s="73">
        <f t="shared" si="111"/>
        <v>0</v>
      </c>
      <c r="AJ233" s="73">
        <f t="shared" si="111"/>
        <v>12</v>
      </c>
      <c r="AK233" s="73">
        <f t="shared" si="111"/>
        <v>12</v>
      </c>
      <c r="AL233" s="73">
        <f t="shared" si="111"/>
        <v>12</v>
      </c>
      <c r="AM233" s="73">
        <f t="shared" si="111"/>
        <v>12</v>
      </c>
      <c r="AN233" s="73">
        <f t="shared" si="111"/>
        <v>4</v>
      </c>
      <c r="AO233" s="73">
        <f t="shared" si="111"/>
        <v>0</v>
      </c>
      <c r="AP233" s="73">
        <f t="shared" si="111"/>
        <v>0</v>
      </c>
      <c r="AQ233" s="73">
        <f t="shared" si="111"/>
        <v>0</v>
      </c>
      <c r="AR233" s="73">
        <f t="shared" si="111"/>
        <v>0</v>
      </c>
      <c r="AS233" s="73">
        <f t="shared" si="111"/>
        <v>0</v>
      </c>
      <c r="AT233" s="73">
        <f t="shared" si="111"/>
        <v>0</v>
      </c>
      <c r="AU233" s="73">
        <f t="shared" si="111"/>
        <v>0</v>
      </c>
      <c r="AV233" s="73">
        <f t="shared" si="111"/>
        <v>0</v>
      </c>
      <c r="AW233" s="73">
        <f t="shared" si="111"/>
        <v>0</v>
      </c>
      <c r="AX233" s="73">
        <f t="shared" si="111"/>
        <v>0</v>
      </c>
      <c r="AY233" s="73">
        <f t="shared" si="111"/>
        <v>0</v>
      </c>
      <c r="AZ233" s="575">
        <f t="shared" si="111"/>
        <v>0</v>
      </c>
      <c r="BA233">
        <f t="shared" si="112"/>
        <v>52</v>
      </c>
    </row>
    <row r="234" spans="1:53" ht="15.75" thickBot="1">
      <c r="A234" s="73"/>
      <c r="B234" s="70"/>
      <c r="C234" s="73"/>
      <c r="D234" s="73" t="s">
        <v>794</v>
      </c>
      <c r="E234" s="73"/>
      <c r="F234" s="73"/>
      <c r="G234" s="566"/>
      <c r="H234" s="73">
        <f>H231+H232+H233</f>
        <v>0</v>
      </c>
      <c r="I234" s="73">
        <f>I231+I232+I233</f>
        <v>372.12547159025951</v>
      </c>
      <c r="J234" s="73">
        <f t="shared" ref="J234:P234" si="114">J231+J232+J233</f>
        <v>709.43820738538932</v>
      </c>
      <c r="K234" s="73">
        <f t="shared" si="114"/>
        <v>862.22143592088719</v>
      </c>
      <c r="L234" s="73">
        <f t="shared" si="114"/>
        <v>1405.3400327731413</v>
      </c>
      <c r="M234" s="73">
        <f t="shared" si="114"/>
        <v>344.97067947105677</v>
      </c>
      <c r="N234" s="73">
        <f t="shared" si="114"/>
        <v>0</v>
      </c>
      <c r="O234" s="73">
        <f t="shared" si="114"/>
        <v>17.937578598376586</v>
      </c>
      <c r="P234" s="73">
        <f t="shared" si="114"/>
        <v>0</v>
      </c>
      <c r="Q234" s="73">
        <f>Q231+Q232+Q233</f>
        <v>0</v>
      </c>
      <c r="R234" s="73">
        <f>R231+R232+R233</f>
        <v>0</v>
      </c>
      <c r="S234" s="73">
        <f>S231+S232+S233</f>
        <v>0</v>
      </c>
      <c r="T234" s="77">
        <f>SUM(H234:S234)</f>
        <v>3712.0334057391105</v>
      </c>
      <c r="V234" s="72"/>
      <c r="W234" s="73" t="s">
        <v>794</v>
      </c>
      <c r="AC234" s="576">
        <f t="shared" si="111"/>
        <v>0</v>
      </c>
      <c r="AD234" s="577">
        <f t="shared" si="111"/>
        <v>0</v>
      </c>
      <c r="AE234" s="577">
        <f t="shared" si="111"/>
        <v>23.916771464502116</v>
      </c>
      <c r="AF234" s="577">
        <f t="shared" si="111"/>
        <v>29.895964330627645</v>
      </c>
      <c r="AG234" s="577">
        <f t="shared" si="111"/>
        <v>48.864753629815937</v>
      </c>
      <c r="AH234" s="577">
        <f t="shared" si="111"/>
        <v>234.54917876605313</v>
      </c>
      <c r="AI234" s="577">
        <f t="shared" si="111"/>
        <v>114.60119660073931</v>
      </c>
      <c r="AJ234" s="577">
        <f t="shared" si="111"/>
        <v>414.97635379749249</v>
      </c>
      <c r="AK234" s="577">
        <f t="shared" si="111"/>
        <v>616.76071796044357</v>
      </c>
      <c r="AL234" s="577">
        <f t="shared" si="111"/>
        <v>854.28385732251058</v>
      </c>
      <c r="AM234" s="577">
        <f t="shared" si="111"/>
        <v>835.44281086848821</v>
      </c>
      <c r="AN234" s="577">
        <f t="shared" si="111"/>
        <v>226.5826607217713</v>
      </c>
      <c r="AO234" s="577">
        <f t="shared" si="111"/>
        <v>51.854350062878709</v>
      </c>
      <c r="AP234" s="577">
        <f t="shared" si="111"/>
        <v>242.36721161541098</v>
      </c>
      <c r="AQ234" s="577">
        <f t="shared" si="111"/>
        <v>17.937578598376586</v>
      </c>
      <c r="AR234" s="577">
        <f t="shared" si="111"/>
        <v>0</v>
      </c>
      <c r="AS234" s="577">
        <f t="shared" si="111"/>
        <v>0</v>
      </c>
      <c r="AT234" s="577">
        <f t="shared" si="111"/>
        <v>0</v>
      </c>
      <c r="AU234" s="577">
        <f t="shared" si="111"/>
        <v>0</v>
      </c>
      <c r="AV234" s="577">
        <f t="shared" si="111"/>
        <v>0</v>
      </c>
      <c r="AW234" s="577">
        <f t="shared" si="111"/>
        <v>0</v>
      </c>
      <c r="AX234" s="577">
        <f t="shared" si="111"/>
        <v>0</v>
      </c>
      <c r="AY234" s="577">
        <f t="shared" si="111"/>
        <v>0</v>
      </c>
      <c r="AZ234" s="578">
        <f t="shared" si="111"/>
        <v>0</v>
      </c>
      <c r="BA234" s="16">
        <f t="shared" si="112"/>
        <v>3712.033405739111</v>
      </c>
    </row>
    <row r="235" spans="1:53" ht="18" customHeight="1" thickBot="1">
      <c r="A235" s="73"/>
      <c r="B235" s="70"/>
      <c r="C235" s="73"/>
      <c r="D235" s="73"/>
      <c r="E235" s="73"/>
      <c r="F235" s="73"/>
      <c r="G235" s="73"/>
      <c r="H235" s="73"/>
      <c r="I235" s="73"/>
      <c r="J235" s="73"/>
      <c r="K235" s="73"/>
      <c r="L235" s="73"/>
      <c r="M235" s="73"/>
      <c r="N235" s="73"/>
      <c r="O235" s="73"/>
      <c r="P235" s="73"/>
      <c r="Q235" s="73"/>
      <c r="R235" s="73"/>
      <c r="S235" s="73"/>
      <c r="T235" s="79">
        <f>SUM(T150:T228)*1.1</f>
        <v>4083.2367463130226</v>
      </c>
      <c r="W235" s="94" t="s">
        <v>1096</v>
      </c>
      <c r="X235" s="562" t="s">
        <v>1097</v>
      </c>
    </row>
    <row r="236" spans="1:53">
      <c r="A236" t="s">
        <v>1098</v>
      </c>
      <c r="D236" t="s">
        <v>791</v>
      </c>
      <c r="K236">
        <v>400</v>
      </c>
      <c r="L236">
        <v>270</v>
      </c>
      <c r="U236" s="16">
        <v>510100</v>
      </c>
      <c r="V236" t="s">
        <v>1099</v>
      </c>
      <c r="W236" t="s">
        <v>791</v>
      </c>
      <c r="AC236" s="563"/>
      <c r="AD236" s="564"/>
      <c r="AE236" s="564"/>
      <c r="AF236" s="564"/>
      <c r="AG236" s="564"/>
      <c r="AH236" s="564"/>
      <c r="AI236" s="564"/>
      <c r="AJ236" s="564"/>
      <c r="AK236" s="564"/>
      <c r="AL236" s="568">
        <f>K236/2</f>
        <v>200</v>
      </c>
      <c r="AM236" s="568">
        <f>K236/2</f>
        <v>200</v>
      </c>
      <c r="AN236" s="568">
        <f>L236/2</f>
        <v>135</v>
      </c>
      <c r="AO236" s="568">
        <f>L236/2</f>
        <v>135</v>
      </c>
      <c r="AP236" s="564"/>
      <c r="AQ236" s="564"/>
      <c r="AR236" s="564"/>
      <c r="AS236" s="564"/>
      <c r="AT236" s="564"/>
      <c r="AU236" s="564"/>
      <c r="AV236" s="564"/>
      <c r="AW236" s="564"/>
      <c r="AX236" s="564"/>
      <c r="AY236" s="564"/>
      <c r="AZ236" s="274"/>
    </row>
    <row r="237" spans="1:53">
      <c r="A237" t="s">
        <v>1099</v>
      </c>
      <c r="D237" t="s">
        <v>792</v>
      </c>
      <c r="H237">
        <f>H236*N30*0.001</f>
        <v>0</v>
      </c>
      <c r="I237">
        <f>I236*N30*0.001</f>
        <v>0</v>
      </c>
      <c r="J237">
        <f>J236*N30*0.001</f>
        <v>0</v>
      </c>
      <c r="K237">
        <f>K236*N30*0.001</f>
        <v>39.861285774170199</v>
      </c>
      <c r="L237">
        <f>L236*N30*0.001</f>
        <v>26.906367897564881</v>
      </c>
      <c r="M237">
        <f>M236*N30*0.001</f>
        <v>0</v>
      </c>
      <c r="N237">
        <f>N236*N30*0.001</f>
        <v>0</v>
      </c>
      <c r="O237">
        <f>O236*N30*0.001</f>
        <v>0</v>
      </c>
      <c r="P237">
        <f>P236*N30*0.001</f>
        <v>0</v>
      </c>
      <c r="Q237">
        <f>Q236*N30*0.001</f>
        <v>0</v>
      </c>
      <c r="R237">
        <f>R236*N30*0.001</f>
        <v>0</v>
      </c>
      <c r="S237">
        <f>S236*N30*0.001</f>
        <v>0</v>
      </c>
      <c r="U237" s="16">
        <v>510100</v>
      </c>
      <c r="V237" t="s">
        <v>1099</v>
      </c>
      <c r="W237" t="s">
        <v>792</v>
      </c>
      <c r="Y237" t="s">
        <v>351</v>
      </c>
      <c r="Z237" t="str">
        <f>VLOOKUP(Y237,'Price Table 8 OHB'!A:B,2,FALSE)</f>
        <v>(System level) Assembly, Integration and Testing,Verification</v>
      </c>
      <c r="AC237" s="565">
        <f>AC236*$N$30*0.001</f>
        <v>0</v>
      </c>
      <c r="AD237">
        <f t="shared" ref="AD237:AZ237" si="115">AD236*$N$30*0.001</f>
        <v>0</v>
      </c>
      <c r="AE237">
        <f t="shared" si="115"/>
        <v>0</v>
      </c>
      <c r="AF237">
        <f t="shared" si="115"/>
        <v>0</v>
      </c>
      <c r="AG237">
        <f t="shared" si="115"/>
        <v>0</v>
      </c>
      <c r="AH237">
        <f t="shared" si="115"/>
        <v>0</v>
      </c>
      <c r="AI237">
        <f t="shared" si="115"/>
        <v>0</v>
      </c>
      <c r="AJ237">
        <f t="shared" si="115"/>
        <v>0</v>
      </c>
      <c r="AK237">
        <f t="shared" si="115"/>
        <v>0</v>
      </c>
      <c r="AL237">
        <f t="shared" si="115"/>
        <v>19.930642887085099</v>
      </c>
      <c r="AM237">
        <f t="shared" si="115"/>
        <v>19.930642887085099</v>
      </c>
      <c r="AN237">
        <f t="shared" si="115"/>
        <v>13.45318394878244</v>
      </c>
      <c r="AO237">
        <f t="shared" si="115"/>
        <v>13.45318394878244</v>
      </c>
      <c r="AP237">
        <f t="shared" si="115"/>
        <v>0</v>
      </c>
      <c r="AQ237">
        <f t="shared" si="115"/>
        <v>0</v>
      </c>
      <c r="AR237">
        <f t="shared" si="115"/>
        <v>0</v>
      </c>
      <c r="AS237">
        <f t="shared" si="115"/>
        <v>0</v>
      </c>
      <c r="AT237">
        <f t="shared" si="115"/>
        <v>0</v>
      </c>
      <c r="AU237">
        <f t="shared" si="115"/>
        <v>0</v>
      </c>
      <c r="AV237">
        <f t="shared" si="115"/>
        <v>0</v>
      </c>
      <c r="AW237">
        <f t="shared" si="115"/>
        <v>0</v>
      </c>
      <c r="AX237">
        <f t="shared" si="115"/>
        <v>0</v>
      </c>
      <c r="AY237">
        <f t="shared" si="115"/>
        <v>0</v>
      </c>
      <c r="AZ237" s="275">
        <f t="shared" si="115"/>
        <v>0</v>
      </c>
    </row>
    <row r="238" spans="1:53">
      <c r="D238" t="s">
        <v>1100</v>
      </c>
      <c r="K238">
        <v>10</v>
      </c>
      <c r="U238" s="16">
        <v>510100</v>
      </c>
      <c r="V238" t="s">
        <v>1099</v>
      </c>
      <c r="W238" t="s">
        <v>793</v>
      </c>
      <c r="Y238" t="s">
        <v>356</v>
      </c>
      <c r="Z238" t="str">
        <f>VLOOKUP(Y238,'Price Table 8 OHB'!A:B,2,FALSE)</f>
        <v>Ground Segment Equipment</v>
      </c>
      <c r="AC238" s="565"/>
      <c r="AL238">
        <f>K238</f>
        <v>10</v>
      </c>
      <c r="AZ238" s="275"/>
    </row>
    <row r="239" spans="1:53">
      <c r="D239" t="s">
        <v>966</v>
      </c>
      <c r="U239" s="16">
        <v>510100</v>
      </c>
      <c r="V239" t="s">
        <v>1099</v>
      </c>
      <c r="W239" t="s">
        <v>966</v>
      </c>
      <c r="Y239" t="s">
        <v>351</v>
      </c>
      <c r="Z239" t="str">
        <f>VLOOKUP(Y239,'Price Table 8 OHB'!A:B,2,FALSE)</f>
        <v>(System level) Assembly, Integration and Testing,Verification</v>
      </c>
      <c r="AC239" s="565"/>
      <c r="AZ239" s="275"/>
    </row>
    <row r="240" spans="1:53" ht="15.75" thickBot="1">
      <c r="D240" t="s">
        <v>794</v>
      </c>
      <c r="G240" s="570"/>
      <c r="H240">
        <f>H237+H238+H239</f>
        <v>0</v>
      </c>
      <c r="I240">
        <f>I237+I238+I239</f>
        <v>0</v>
      </c>
      <c r="J240">
        <f t="shared" ref="J240:S240" si="116">J237+J238+J239</f>
        <v>0</v>
      </c>
      <c r="K240">
        <f t="shared" si="116"/>
        <v>49.861285774170199</v>
      </c>
      <c r="L240">
        <f t="shared" si="116"/>
        <v>26.906367897564881</v>
      </c>
      <c r="M240">
        <f t="shared" si="116"/>
        <v>0</v>
      </c>
      <c r="N240">
        <f t="shared" si="116"/>
        <v>0</v>
      </c>
      <c r="O240">
        <f t="shared" si="116"/>
        <v>0</v>
      </c>
      <c r="P240">
        <f t="shared" si="116"/>
        <v>0</v>
      </c>
      <c r="Q240">
        <f t="shared" si="116"/>
        <v>0</v>
      </c>
      <c r="R240">
        <f t="shared" si="116"/>
        <v>0</v>
      </c>
      <c r="S240">
        <f t="shared" si="116"/>
        <v>0</v>
      </c>
      <c r="T240">
        <f>SUM(H240:S240)</f>
        <v>76.767653671735076</v>
      </c>
      <c r="U240" s="16"/>
      <c r="W240" t="s">
        <v>794</v>
      </c>
      <c r="AC240" s="567">
        <f>SUM(AC237:AC239)</f>
        <v>0</v>
      </c>
      <c r="AD240" s="265">
        <f t="shared" ref="AD240:AZ240" si="117">SUM(AD237:AD239)</f>
        <v>0</v>
      </c>
      <c r="AE240" s="265">
        <f t="shared" si="117"/>
        <v>0</v>
      </c>
      <c r="AF240" s="265">
        <f t="shared" si="117"/>
        <v>0</v>
      </c>
      <c r="AG240" s="265">
        <f t="shared" si="117"/>
        <v>0</v>
      </c>
      <c r="AH240" s="265">
        <f t="shared" si="117"/>
        <v>0</v>
      </c>
      <c r="AI240" s="265">
        <f t="shared" si="117"/>
        <v>0</v>
      </c>
      <c r="AJ240" s="265">
        <f t="shared" si="117"/>
        <v>0</v>
      </c>
      <c r="AK240" s="265">
        <f t="shared" si="117"/>
        <v>0</v>
      </c>
      <c r="AL240" s="265">
        <f t="shared" si="117"/>
        <v>29.930642887085099</v>
      </c>
      <c r="AM240" s="265">
        <f t="shared" si="117"/>
        <v>19.930642887085099</v>
      </c>
      <c r="AN240" s="265">
        <f t="shared" si="117"/>
        <v>13.45318394878244</v>
      </c>
      <c r="AO240" s="265">
        <f t="shared" si="117"/>
        <v>13.45318394878244</v>
      </c>
      <c r="AP240" s="265">
        <f t="shared" si="117"/>
        <v>0</v>
      </c>
      <c r="AQ240" s="265">
        <f t="shared" si="117"/>
        <v>0</v>
      </c>
      <c r="AR240" s="265">
        <f t="shared" si="117"/>
        <v>0</v>
      </c>
      <c r="AS240" s="265">
        <f t="shared" si="117"/>
        <v>0</v>
      </c>
      <c r="AT240" s="265">
        <f t="shared" si="117"/>
        <v>0</v>
      </c>
      <c r="AU240" s="265">
        <f t="shared" si="117"/>
        <v>0</v>
      </c>
      <c r="AV240" s="265">
        <f t="shared" si="117"/>
        <v>0</v>
      </c>
      <c r="AW240" s="265">
        <f t="shared" si="117"/>
        <v>0</v>
      </c>
      <c r="AX240" s="265">
        <f t="shared" si="117"/>
        <v>0</v>
      </c>
      <c r="AY240" s="265">
        <f t="shared" si="117"/>
        <v>0</v>
      </c>
      <c r="AZ240" s="276">
        <f t="shared" si="117"/>
        <v>0</v>
      </c>
      <c r="BA240" s="16">
        <f>SUM(AC240:AZ240)</f>
        <v>76.767653671735076</v>
      </c>
    </row>
    <row r="241" spans="1:53" ht="60.75" thickBot="1">
      <c r="A241" s="90"/>
      <c r="B241" s="91"/>
      <c r="C241" s="90"/>
      <c r="D241" s="90"/>
      <c r="E241" s="90"/>
      <c r="F241" s="90"/>
      <c r="G241" s="580"/>
      <c r="H241" s="90"/>
      <c r="I241" s="90"/>
      <c r="J241" s="90"/>
      <c r="K241" s="90"/>
      <c r="L241" s="90"/>
      <c r="M241" s="90"/>
      <c r="N241" s="90"/>
      <c r="O241" s="90"/>
      <c r="P241" s="90"/>
      <c r="Q241" s="90"/>
      <c r="R241" s="90"/>
      <c r="S241" s="90"/>
      <c r="W241" s="94" t="s">
        <v>1101</v>
      </c>
      <c r="X241" s="562" t="s">
        <v>1102</v>
      </c>
    </row>
    <row r="242" spans="1:53">
      <c r="A242" t="s">
        <v>1103</v>
      </c>
      <c r="D242" t="s">
        <v>791</v>
      </c>
      <c r="G242" s="570"/>
      <c r="L242">
        <v>1862</v>
      </c>
      <c r="U242" s="16">
        <v>520200</v>
      </c>
      <c r="V242" t="s">
        <v>1104</v>
      </c>
      <c r="W242" t="s">
        <v>791</v>
      </c>
      <c r="AC242" s="563"/>
      <c r="AD242" s="564"/>
      <c r="AE242" s="564"/>
      <c r="AF242" s="564"/>
      <c r="AG242" s="564"/>
      <c r="AH242" s="564"/>
      <c r="AI242" s="568">
        <f>L242</f>
        <v>1862</v>
      </c>
      <c r="AJ242" s="564"/>
      <c r="AK242" s="564"/>
      <c r="AL242" s="564"/>
      <c r="AM242" s="564"/>
      <c r="AN242" s="564"/>
      <c r="AO242" s="564"/>
      <c r="AP242" s="564"/>
      <c r="AQ242" s="564"/>
      <c r="AR242" s="564"/>
      <c r="AS242" s="564"/>
      <c r="AT242" s="564"/>
      <c r="AU242" s="564"/>
      <c r="AV242" s="564"/>
      <c r="AW242" s="564"/>
      <c r="AX242" s="564"/>
      <c r="AY242" s="564"/>
      <c r="AZ242" s="274"/>
    </row>
    <row r="243" spans="1:53">
      <c r="A243" t="s">
        <v>1104</v>
      </c>
      <c r="D243" t="s">
        <v>792</v>
      </c>
      <c r="G243" s="570"/>
      <c r="H243">
        <f>H242*N30*0.001</f>
        <v>0</v>
      </c>
      <c r="I243">
        <f>I242*N30*0.001</f>
        <v>0</v>
      </c>
      <c r="J243">
        <f>J242*N30*0.001</f>
        <v>0</v>
      </c>
      <c r="K243">
        <f>K242*N30*0.001</f>
        <v>0</v>
      </c>
      <c r="L243">
        <f>L242*N30*0.001</f>
        <v>185.55428527876225</v>
      </c>
      <c r="M243">
        <f>M242*N30*0.001</f>
        <v>0</v>
      </c>
      <c r="N243">
        <f>N242*N30*0.001</f>
        <v>0</v>
      </c>
      <c r="O243">
        <f>O242*N30*0.001</f>
        <v>0</v>
      </c>
      <c r="P243">
        <f>P242*N30*0.001</f>
        <v>0</v>
      </c>
      <c r="Q243">
        <f>Q242*N30*0.001</f>
        <v>0</v>
      </c>
      <c r="R243">
        <f>R242*N30*0.001</f>
        <v>0</v>
      </c>
      <c r="S243">
        <f>S242*N30*0.001</f>
        <v>0</v>
      </c>
      <c r="U243" s="16">
        <v>520200</v>
      </c>
      <c r="V243" t="s">
        <v>1104</v>
      </c>
      <c r="W243" t="s">
        <v>792</v>
      </c>
      <c r="Y243" t="s">
        <v>351</v>
      </c>
      <c r="Z243" t="str">
        <f>VLOOKUP(Y243,'Price Table 8 OHB'!A:B,2,FALSE)</f>
        <v>(System level) Assembly, Integration and Testing,Verification</v>
      </c>
      <c r="AC243" s="565">
        <f>AC242*$N$30*0.001</f>
        <v>0</v>
      </c>
      <c r="AD243">
        <f t="shared" ref="AD243:AZ243" si="118">AD242*$N$30*0.001</f>
        <v>0</v>
      </c>
      <c r="AE243">
        <f t="shared" si="118"/>
        <v>0</v>
      </c>
      <c r="AF243">
        <f t="shared" si="118"/>
        <v>0</v>
      </c>
      <c r="AG243">
        <f t="shared" si="118"/>
        <v>0</v>
      </c>
      <c r="AH243">
        <f t="shared" si="118"/>
        <v>0</v>
      </c>
      <c r="AI243">
        <f t="shared" si="118"/>
        <v>185.55428527876225</v>
      </c>
      <c r="AJ243">
        <f t="shared" si="118"/>
        <v>0</v>
      </c>
      <c r="AK243">
        <f t="shared" si="118"/>
        <v>0</v>
      </c>
      <c r="AL243">
        <f t="shared" si="118"/>
        <v>0</v>
      </c>
      <c r="AM243">
        <f t="shared" si="118"/>
        <v>0</v>
      </c>
      <c r="AN243">
        <f t="shared" si="118"/>
        <v>0</v>
      </c>
      <c r="AO243">
        <f t="shared" si="118"/>
        <v>0</v>
      </c>
      <c r="AP243">
        <f t="shared" si="118"/>
        <v>0</v>
      </c>
      <c r="AQ243">
        <f t="shared" si="118"/>
        <v>0</v>
      </c>
      <c r="AR243">
        <f t="shared" si="118"/>
        <v>0</v>
      </c>
      <c r="AS243">
        <f t="shared" si="118"/>
        <v>0</v>
      </c>
      <c r="AT243">
        <f t="shared" si="118"/>
        <v>0</v>
      </c>
      <c r="AU243">
        <f t="shared" si="118"/>
        <v>0</v>
      </c>
      <c r="AV243">
        <f t="shared" si="118"/>
        <v>0</v>
      </c>
      <c r="AW243">
        <f t="shared" si="118"/>
        <v>0</v>
      </c>
      <c r="AX243">
        <f t="shared" si="118"/>
        <v>0</v>
      </c>
      <c r="AY243">
        <f t="shared" si="118"/>
        <v>0</v>
      </c>
      <c r="AZ243" s="275">
        <f t="shared" si="118"/>
        <v>0</v>
      </c>
    </row>
    <row r="244" spans="1:53">
      <c r="D244" t="s">
        <v>793</v>
      </c>
      <c r="G244" s="570"/>
      <c r="U244" s="16">
        <v>520200</v>
      </c>
      <c r="V244" t="s">
        <v>1104</v>
      </c>
      <c r="W244" t="s">
        <v>793</v>
      </c>
      <c r="Y244" t="s">
        <v>356</v>
      </c>
      <c r="Z244" t="str">
        <f>VLOOKUP(Y244,'Price Table 8 OHB'!A:B,2,FALSE)</f>
        <v>Ground Segment Equipment</v>
      </c>
      <c r="AC244" s="565"/>
      <c r="AZ244" s="275"/>
    </row>
    <row r="245" spans="1:53">
      <c r="D245" t="s">
        <v>966</v>
      </c>
      <c r="G245" s="570"/>
      <c r="U245" s="16">
        <v>520200</v>
      </c>
      <c r="V245" t="s">
        <v>1104</v>
      </c>
      <c r="W245" t="s">
        <v>966</v>
      </c>
      <c r="Y245" t="s">
        <v>351</v>
      </c>
      <c r="Z245" t="str">
        <f>VLOOKUP(Y245,'Price Table 8 OHB'!A:B,2,FALSE)</f>
        <v>(System level) Assembly, Integration and Testing,Verification</v>
      </c>
      <c r="AC245" s="565"/>
      <c r="AZ245" s="275"/>
    </row>
    <row r="246" spans="1:53" ht="15.75" thickBot="1">
      <c r="D246" t="s">
        <v>794</v>
      </c>
      <c r="G246" s="570"/>
      <c r="H246">
        <f>H243+H244+H245</f>
        <v>0</v>
      </c>
      <c r="I246">
        <f>I243+I244+I245</f>
        <v>0</v>
      </c>
      <c r="J246">
        <f t="shared" ref="J246:S246" si="119">J243+J244+J245</f>
        <v>0</v>
      </c>
      <c r="K246">
        <f t="shared" si="119"/>
        <v>0</v>
      </c>
      <c r="L246">
        <f t="shared" si="119"/>
        <v>185.55428527876225</v>
      </c>
      <c r="M246">
        <f t="shared" si="119"/>
        <v>0</v>
      </c>
      <c r="N246">
        <f t="shared" si="119"/>
        <v>0</v>
      </c>
      <c r="O246">
        <f t="shared" si="119"/>
        <v>0</v>
      </c>
      <c r="P246">
        <f t="shared" si="119"/>
        <v>0</v>
      </c>
      <c r="Q246">
        <f t="shared" si="119"/>
        <v>0</v>
      </c>
      <c r="R246">
        <f t="shared" si="119"/>
        <v>0</v>
      </c>
      <c r="S246">
        <f t="shared" si="119"/>
        <v>0</v>
      </c>
      <c r="T246">
        <f>SUM(H246:S246)</f>
        <v>185.55428527876225</v>
      </c>
      <c r="U246" s="16"/>
      <c r="W246" t="s">
        <v>794</v>
      </c>
      <c r="AC246" s="567">
        <f>SUM(AC243:AC245)</f>
        <v>0</v>
      </c>
      <c r="AD246" s="265">
        <f t="shared" ref="AD246:AZ246" si="120">SUM(AD243:AD245)</f>
        <v>0</v>
      </c>
      <c r="AE246" s="265">
        <f t="shared" si="120"/>
        <v>0</v>
      </c>
      <c r="AF246" s="265">
        <f t="shared" si="120"/>
        <v>0</v>
      </c>
      <c r="AG246" s="265">
        <f t="shared" si="120"/>
        <v>0</v>
      </c>
      <c r="AH246" s="265">
        <f t="shared" si="120"/>
        <v>0</v>
      </c>
      <c r="AI246" s="265">
        <f t="shared" si="120"/>
        <v>185.55428527876225</v>
      </c>
      <c r="AJ246" s="265">
        <f t="shared" si="120"/>
        <v>0</v>
      </c>
      <c r="AK246" s="265">
        <f t="shared" si="120"/>
        <v>0</v>
      </c>
      <c r="AL246" s="265">
        <f t="shared" si="120"/>
        <v>0</v>
      </c>
      <c r="AM246" s="265">
        <f t="shared" si="120"/>
        <v>0</v>
      </c>
      <c r="AN246" s="265">
        <f t="shared" si="120"/>
        <v>0</v>
      </c>
      <c r="AO246" s="265">
        <f t="shared" si="120"/>
        <v>0</v>
      </c>
      <c r="AP246" s="265">
        <f t="shared" si="120"/>
        <v>0</v>
      </c>
      <c r="AQ246" s="265">
        <f t="shared" si="120"/>
        <v>0</v>
      </c>
      <c r="AR246" s="265">
        <f t="shared" si="120"/>
        <v>0</v>
      </c>
      <c r="AS246" s="265">
        <f t="shared" si="120"/>
        <v>0</v>
      </c>
      <c r="AT246" s="265">
        <f t="shared" si="120"/>
        <v>0</v>
      </c>
      <c r="AU246" s="265">
        <f t="shared" si="120"/>
        <v>0</v>
      </c>
      <c r="AV246" s="265">
        <f t="shared" si="120"/>
        <v>0</v>
      </c>
      <c r="AW246" s="265">
        <f t="shared" si="120"/>
        <v>0</v>
      </c>
      <c r="AX246" s="265">
        <f t="shared" si="120"/>
        <v>0</v>
      </c>
      <c r="AY246" s="265">
        <f t="shared" si="120"/>
        <v>0</v>
      </c>
      <c r="AZ246" s="276">
        <f t="shared" si="120"/>
        <v>0</v>
      </c>
      <c r="BA246" s="16">
        <f>SUM(AC246:AZ246)</f>
        <v>185.55428527876225</v>
      </c>
    </row>
    <row r="247" spans="1:53" ht="60.75" thickBot="1">
      <c r="A247" s="90"/>
      <c r="B247" s="91"/>
      <c r="C247" s="90"/>
      <c r="D247" s="90"/>
      <c r="E247" s="90"/>
      <c r="F247" s="90"/>
      <c r="G247" s="580"/>
      <c r="H247" s="90"/>
      <c r="I247" s="90"/>
      <c r="J247" s="90"/>
      <c r="K247" s="90"/>
      <c r="L247" s="90"/>
      <c r="M247" s="90"/>
      <c r="N247" s="90"/>
      <c r="O247" s="90"/>
      <c r="P247" s="90"/>
      <c r="Q247" s="90"/>
      <c r="R247" s="90"/>
      <c r="S247" s="90"/>
      <c r="W247" s="94" t="s">
        <v>1105</v>
      </c>
      <c r="X247" s="562" t="s">
        <v>1106</v>
      </c>
    </row>
    <row r="248" spans="1:53">
      <c r="A248" t="s">
        <v>1107</v>
      </c>
      <c r="D248" t="s">
        <v>791</v>
      </c>
      <c r="G248" s="570"/>
      <c r="L248">
        <v>1060</v>
      </c>
      <c r="U248" s="16">
        <v>490440</v>
      </c>
      <c r="V248" t="s">
        <v>1108</v>
      </c>
      <c r="W248" t="s">
        <v>791</v>
      </c>
      <c r="AC248" s="563"/>
      <c r="AD248" s="564"/>
      <c r="AE248" s="564"/>
      <c r="AF248" s="564"/>
      <c r="AG248" s="564"/>
      <c r="AH248" s="564"/>
      <c r="AI248" s="568">
        <f>L248/2</f>
        <v>530</v>
      </c>
      <c r="AJ248" s="568">
        <f>L248/2</f>
        <v>530</v>
      </c>
      <c r="AK248" s="564"/>
      <c r="AL248" s="564"/>
      <c r="AM248" s="564"/>
      <c r="AN248" s="564"/>
      <c r="AO248" s="564"/>
      <c r="AP248" s="564"/>
      <c r="AQ248" s="564"/>
      <c r="AR248" s="564"/>
      <c r="AS248" s="564"/>
      <c r="AT248" s="564"/>
      <c r="AU248" s="564"/>
      <c r="AV248" s="564"/>
      <c r="AW248" s="564"/>
      <c r="AX248" s="564"/>
      <c r="AY248" s="564"/>
      <c r="AZ248" s="274"/>
    </row>
    <row r="249" spans="1:53">
      <c r="A249" t="s">
        <v>1109</v>
      </c>
      <c r="D249" t="s">
        <v>792</v>
      </c>
      <c r="G249" s="570"/>
      <c r="H249">
        <f>H248*N30*0.001</f>
        <v>0</v>
      </c>
      <c r="I249">
        <f>I248*N30*0.001</f>
        <v>0</v>
      </c>
      <c r="J249">
        <f>J248*N30*0.001</f>
        <v>0</v>
      </c>
      <c r="K249">
        <f>K248*N30*0.001</f>
        <v>0</v>
      </c>
      <c r="L249">
        <f>L248*N30*0.001</f>
        <v>105.63240730155101</v>
      </c>
      <c r="M249">
        <f>M248*N30*0.001</f>
        <v>0</v>
      </c>
      <c r="N249">
        <f>N248*N30*0.001</f>
        <v>0</v>
      </c>
      <c r="O249">
        <f>O248*N30*0.001</f>
        <v>0</v>
      </c>
      <c r="P249">
        <f>P248*N30*0.001</f>
        <v>0</v>
      </c>
      <c r="Q249">
        <f>Q248*N30*0.001</f>
        <v>0</v>
      </c>
      <c r="R249">
        <f>R248*N30*0.001</f>
        <v>0</v>
      </c>
      <c r="S249">
        <f>S248*N30*0.001</f>
        <v>0</v>
      </c>
      <c r="U249" s="16">
        <v>490440</v>
      </c>
      <c r="V249" t="s">
        <v>1108</v>
      </c>
      <c r="W249" t="s">
        <v>792</v>
      </c>
      <c r="Y249" t="s">
        <v>321</v>
      </c>
      <c r="Z249" t="str">
        <f>VLOOKUP(Y249,'Price Table 8 OHB'!A:B,2,FALSE)</f>
        <v>Structure - Engineering</v>
      </c>
      <c r="AC249" s="565">
        <f>AC248*$N$30*0.001</f>
        <v>0</v>
      </c>
      <c r="AD249">
        <f t="shared" ref="AD249:AZ249" si="121">AD248*$N$30*0.001</f>
        <v>0</v>
      </c>
      <c r="AE249">
        <f t="shared" si="121"/>
        <v>0</v>
      </c>
      <c r="AF249">
        <f t="shared" si="121"/>
        <v>0</v>
      </c>
      <c r="AG249">
        <f t="shared" si="121"/>
        <v>0</v>
      </c>
      <c r="AH249">
        <f t="shared" si="121"/>
        <v>0</v>
      </c>
      <c r="AI249">
        <f t="shared" si="121"/>
        <v>52.816203650775506</v>
      </c>
      <c r="AJ249">
        <f t="shared" si="121"/>
        <v>52.816203650775506</v>
      </c>
      <c r="AK249">
        <f t="shared" si="121"/>
        <v>0</v>
      </c>
      <c r="AL249">
        <f t="shared" si="121"/>
        <v>0</v>
      </c>
      <c r="AM249">
        <f t="shared" si="121"/>
        <v>0</v>
      </c>
      <c r="AN249">
        <f t="shared" si="121"/>
        <v>0</v>
      </c>
      <c r="AO249">
        <f t="shared" si="121"/>
        <v>0</v>
      </c>
      <c r="AP249">
        <f t="shared" si="121"/>
        <v>0</v>
      </c>
      <c r="AQ249">
        <f t="shared" si="121"/>
        <v>0</v>
      </c>
      <c r="AR249">
        <f t="shared" si="121"/>
        <v>0</v>
      </c>
      <c r="AS249">
        <f t="shared" si="121"/>
        <v>0</v>
      </c>
      <c r="AT249">
        <f t="shared" si="121"/>
        <v>0</v>
      </c>
      <c r="AU249">
        <f t="shared" si="121"/>
        <v>0</v>
      </c>
      <c r="AV249">
        <f t="shared" si="121"/>
        <v>0</v>
      </c>
      <c r="AW249">
        <f t="shared" si="121"/>
        <v>0</v>
      </c>
      <c r="AX249">
        <f t="shared" si="121"/>
        <v>0</v>
      </c>
      <c r="AY249">
        <f t="shared" si="121"/>
        <v>0</v>
      </c>
      <c r="AZ249" s="275">
        <f t="shared" si="121"/>
        <v>0</v>
      </c>
    </row>
    <row r="250" spans="1:53">
      <c r="A250" t="s">
        <v>1110</v>
      </c>
      <c r="D250" t="s">
        <v>793</v>
      </c>
      <c r="G250" s="570"/>
      <c r="L250">
        <v>68.55</v>
      </c>
      <c r="U250" s="16">
        <v>490440</v>
      </c>
      <c r="V250" t="s">
        <v>1108</v>
      </c>
      <c r="W250" t="s">
        <v>793</v>
      </c>
      <c r="Y250" t="s">
        <v>602</v>
      </c>
      <c r="Z250" t="str">
        <f>VLOOKUP(Y250,'Price Table 8 OHB'!A:B,2,FALSE)</f>
        <v>Structure - HW</v>
      </c>
      <c r="AC250" s="565"/>
      <c r="AI250">
        <f>L250/2</f>
        <v>34.274999999999999</v>
      </c>
      <c r="AJ250">
        <f>L250/2</f>
        <v>34.274999999999999</v>
      </c>
      <c r="AZ250" s="275"/>
    </row>
    <row r="251" spans="1:53">
      <c r="D251" t="s">
        <v>966</v>
      </c>
      <c r="G251" s="570"/>
      <c r="U251" s="16">
        <v>490440</v>
      </c>
      <c r="V251" t="s">
        <v>1108</v>
      </c>
      <c r="W251" t="s">
        <v>966</v>
      </c>
      <c r="Y251" t="s">
        <v>321</v>
      </c>
      <c r="Z251" t="str">
        <f>VLOOKUP(Y251,'Price Table 8 OHB'!A:B,2,FALSE)</f>
        <v>Structure - Engineering</v>
      </c>
      <c r="AC251" s="565"/>
      <c r="AZ251" s="275"/>
    </row>
    <row r="252" spans="1:53" ht="15.75" thickBot="1">
      <c r="D252" t="s">
        <v>794</v>
      </c>
      <c r="G252" s="570"/>
      <c r="H252">
        <f>H249+H250+I251</f>
        <v>0</v>
      </c>
      <c r="I252">
        <f>I249+I250+I251</f>
        <v>0</v>
      </c>
      <c r="J252">
        <f t="shared" ref="J252:S252" si="122">J249+J250+J251</f>
        <v>0</v>
      </c>
      <c r="K252">
        <f t="shared" si="122"/>
        <v>0</v>
      </c>
      <c r="L252">
        <f t="shared" si="122"/>
        <v>174.182407301551</v>
      </c>
      <c r="M252">
        <f t="shared" si="122"/>
        <v>0</v>
      </c>
      <c r="N252">
        <f t="shared" si="122"/>
        <v>0</v>
      </c>
      <c r="O252">
        <f t="shared" si="122"/>
        <v>0</v>
      </c>
      <c r="P252">
        <f t="shared" si="122"/>
        <v>0</v>
      </c>
      <c r="Q252">
        <f t="shared" si="122"/>
        <v>0</v>
      </c>
      <c r="R252">
        <f t="shared" si="122"/>
        <v>0</v>
      </c>
      <c r="S252">
        <f t="shared" si="122"/>
        <v>0</v>
      </c>
      <c r="T252">
        <f>SUM(H252:S252)</f>
        <v>174.182407301551</v>
      </c>
      <c r="U252" s="16"/>
      <c r="W252" t="s">
        <v>794</v>
      </c>
      <c r="AC252" s="567">
        <f>SUM(AC249:AC251)</f>
        <v>0</v>
      </c>
      <c r="AD252" s="265">
        <f t="shared" ref="AD252:AZ252" si="123">SUM(AD249:AD251)</f>
        <v>0</v>
      </c>
      <c r="AE252" s="265">
        <f t="shared" si="123"/>
        <v>0</v>
      </c>
      <c r="AF252" s="265">
        <f t="shared" si="123"/>
        <v>0</v>
      </c>
      <c r="AG252" s="265">
        <f t="shared" si="123"/>
        <v>0</v>
      </c>
      <c r="AH252" s="265">
        <f t="shared" si="123"/>
        <v>0</v>
      </c>
      <c r="AI252" s="265">
        <f t="shared" si="123"/>
        <v>87.091203650775498</v>
      </c>
      <c r="AJ252" s="265">
        <f t="shared" si="123"/>
        <v>87.091203650775498</v>
      </c>
      <c r="AK252" s="265">
        <f t="shared" si="123"/>
        <v>0</v>
      </c>
      <c r="AL252" s="265">
        <f t="shared" si="123"/>
        <v>0</v>
      </c>
      <c r="AM252" s="265">
        <f t="shared" si="123"/>
        <v>0</v>
      </c>
      <c r="AN252" s="265">
        <f t="shared" si="123"/>
        <v>0</v>
      </c>
      <c r="AO252" s="265">
        <f t="shared" si="123"/>
        <v>0</v>
      </c>
      <c r="AP252" s="265">
        <f t="shared" si="123"/>
        <v>0</v>
      </c>
      <c r="AQ252" s="265">
        <f t="shared" si="123"/>
        <v>0</v>
      </c>
      <c r="AR252" s="265">
        <f t="shared" si="123"/>
        <v>0</v>
      </c>
      <c r="AS252" s="265">
        <f t="shared" si="123"/>
        <v>0</v>
      </c>
      <c r="AT252" s="265">
        <f t="shared" si="123"/>
        <v>0</v>
      </c>
      <c r="AU252" s="265">
        <f t="shared" si="123"/>
        <v>0</v>
      </c>
      <c r="AV252" s="265">
        <f t="shared" si="123"/>
        <v>0</v>
      </c>
      <c r="AW252" s="265">
        <f t="shared" si="123"/>
        <v>0</v>
      </c>
      <c r="AX252" s="265">
        <f t="shared" si="123"/>
        <v>0</v>
      </c>
      <c r="AY252" s="265">
        <f t="shared" si="123"/>
        <v>0</v>
      </c>
      <c r="AZ252" s="276">
        <f t="shared" si="123"/>
        <v>0</v>
      </c>
      <c r="BA252" s="16">
        <f>SUM(AC252:AZ252)</f>
        <v>174.182407301551</v>
      </c>
    </row>
    <row r="253" spans="1:53" ht="21.95" customHeight="1" thickBot="1">
      <c r="A253" s="90"/>
      <c r="B253" s="91"/>
      <c r="C253" s="90"/>
      <c r="D253" s="90"/>
      <c r="E253" s="90"/>
      <c r="F253" s="90"/>
      <c r="G253" s="90"/>
      <c r="H253" s="90"/>
      <c r="I253" s="90"/>
      <c r="J253" s="90"/>
      <c r="K253" s="90"/>
      <c r="L253" s="90"/>
      <c r="M253" s="90"/>
      <c r="N253" s="90"/>
      <c r="O253" s="90"/>
      <c r="P253" s="90"/>
      <c r="Q253" s="90"/>
      <c r="R253" s="90"/>
      <c r="S253" s="90"/>
      <c r="W253" s="94" t="s">
        <v>1111</v>
      </c>
      <c r="X253" s="562" t="s">
        <v>1112</v>
      </c>
    </row>
    <row r="254" spans="1:53">
      <c r="A254" t="s">
        <v>1113</v>
      </c>
      <c r="D254" t="s">
        <v>791</v>
      </c>
      <c r="M254">
        <v>3500</v>
      </c>
      <c r="N254">
        <v>3500</v>
      </c>
      <c r="O254">
        <v>1835</v>
      </c>
      <c r="U254" s="16">
        <v>550100</v>
      </c>
      <c r="V254" t="s">
        <v>1114</v>
      </c>
      <c r="W254" t="s">
        <v>791</v>
      </c>
      <c r="AC254" s="563"/>
      <c r="AD254" s="564"/>
      <c r="AE254" s="564"/>
      <c r="AF254" s="564"/>
      <c r="AG254" s="564"/>
      <c r="AH254" s="564"/>
      <c r="AI254" s="564"/>
      <c r="AJ254" s="564"/>
      <c r="AK254" s="564"/>
      <c r="AL254" s="564"/>
      <c r="AM254" s="564"/>
      <c r="AN254" s="564"/>
      <c r="AO254" s="564"/>
      <c r="AP254" s="568">
        <f>M254/2</f>
        <v>1750</v>
      </c>
      <c r="AQ254" s="568">
        <f>M254/2</f>
        <v>1750</v>
      </c>
      <c r="AR254" s="568">
        <f>N254/2</f>
        <v>1750</v>
      </c>
      <c r="AS254" s="568">
        <f>N254/2</f>
        <v>1750</v>
      </c>
      <c r="AT254" s="568">
        <f>O254/2</f>
        <v>917.5</v>
      </c>
      <c r="AU254" s="568">
        <f>O254/2</f>
        <v>917.5</v>
      </c>
      <c r="AV254" s="564"/>
      <c r="AW254" s="564"/>
      <c r="AX254" s="564"/>
      <c r="AY254" s="564"/>
      <c r="AZ254" s="274"/>
    </row>
    <row r="255" spans="1:53">
      <c r="A255" t="s">
        <v>1114</v>
      </c>
      <c r="D255" t="s">
        <v>792</v>
      </c>
      <c r="H255">
        <f>H254*N30*0.001</f>
        <v>0</v>
      </c>
      <c r="I255">
        <f>I254*N30*0.001</f>
        <v>0</v>
      </c>
      <c r="J255">
        <f>J254*N30*0.001</f>
        <v>0</v>
      </c>
      <c r="K255">
        <f>K254*N30*0.001</f>
        <v>0</v>
      </c>
      <c r="L255">
        <f>L254*N30*0.001</f>
        <v>0</v>
      </c>
      <c r="M255">
        <f>M254*N30*0.001</f>
        <v>348.78625052398922</v>
      </c>
      <c r="N255">
        <f>N254*N30*0.001</f>
        <v>348.78625052398922</v>
      </c>
      <c r="O255">
        <f>O254*N30*0.001</f>
        <v>182.86364848900575</v>
      </c>
      <c r="P255">
        <f>P254*N30*0.001</f>
        <v>0</v>
      </c>
      <c r="Q255">
        <f>Q254*N30*0.001</f>
        <v>0</v>
      </c>
      <c r="R255">
        <f>R254*N30*0.001</f>
        <v>0</v>
      </c>
      <c r="S255">
        <f>S254*N30*0.001</f>
        <v>0</v>
      </c>
      <c r="U255" s="16">
        <v>550100</v>
      </c>
      <c r="V255" t="s">
        <v>1114</v>
      </c>
      <c r="W255" t="s">
        <v>792</v>
      </c>
      <c r="Y255" t="s">
        <v>351</v>
      </c>
      <c r="Z255" t="str">
        <f>VLOOKUP(Y255,'Price Table 8 OHB'!A:B,2,FALSE)</f>
        <v>(System level) Assembly, Integration and Testing,Verification</v>
      </c>
      <c r="AC255" s="565">
        <f>AC254*$N$30*0.001</f>
        <v>0</v>
      </c>
      <c r="AD255">
        <f t="shared" ref="AD255:AZ255" si="124">AD254*$N$30*0.001</f>
        <v>0</v>
      </c>
      <c r="AE255">
        <f t="shared" si="124"/>
        <v>0</v>
      </c>
      <c r="AF255">
        <f t="shared" si="124"/>
        <v>0</v>
      </c>
      <c r="AG255">
        <f t="shared" si="124"/>
        <v>0</v>
      </c>
      <c r="AH255">
        <f t="shared" si="124"/>
        <v>0</v>
      </c>
      <c r="AI255">
        <f t="shared" si="124"/>
        <v>0</v>
      </c>
      <c r="AJ255">
        <f t="shared" si="124"/>
        <v>0</v>
      </c>
      <c r="AK255">
        <f t="shared" si="124"/>
        <v>0</v>
      </c>
      <c r="AL255">
        <f t="shared" si="124"/>
        <v>0</v>
      </c>
      <c r="AM255">
        <f t="shared" si="124"/>
        <v>0</v>
      </c>
      <c r="AN255">
        <f t="shared" si="124"/>
        <v>0</v>
      </c>
      <c r="AO255">
        <f t="shared" si="124"/>
        <v>0</v>
      </c>
      <c r="AP255">
        <f t="shared" si="124"/>
        <v>174.39312526199461</v>
      </c>
      <c r="AQ255">
        <f t="shared" si="124"/>
        <v>174.39312526199461</v>
      </c>
      <c r="AR255">
        <f t="shared" si="124"/>
        <v>174.39312526199461</v>
      </c>
      <c r="AS255">
        <f t="shared" si="124"/>
        <v>174.39312526199461</v>
      </c>
      <c r="AT255">
        <f t="shared" si="124"/>
        <v>91.431824244502877</v>
      </c>
      <c r="AU255">
        <f t="shared" si="124"/>
        <v>91.431824244502877</v>
      </c>
      <c r="AV255">
        <f t="shared" si="124"/>
        <v>0</v>
      </c>
      <c r="AW255">
        <f t="shared" si="124"/>
        <v>0</v>
      </c>
      <c r="AX255">
        <f t="shared" si="124"/>
        <v>0</v>
      </c>
      <c r="AY255">
        <f t="shared" si="124"/>
        <v>0</v>
      </c>
      <c r="AZ255" s="275">
        <f t="shared" si="124"/>
        <v>0</v>
      </c>
    </row>
    <row r="256" spans="1:53">
      <c r="A256" s="17"/>
      <c r="D256" t="s">
        <v>793</v>
      </c>
      <c r="M256">
        <v>104</v>
      </c>
      <c r="U256" s="16">
        <v>550100</v>
      </c>
      <c r="V256" t="s">
        <v>1114</v>
      </c>
      <c r="W256" t="s">
        <v>793</v>
      </c>
      <c r="Y256" t="s">
        <v>351</v>
      </c>
      <c r="Z256" t="str">
        <f>VLOOKUP(Y256,'Price Table 8 OHB'!A:B,2,FALSE)</f>
        <v>(System level) Assembly, Integration and Testing,Verification</v>
      </c>
      <c r="AC256" s="565"/>
      <c r="AP256">
        <f>M256/2</f>
        <v>52</v>
      </c>
      <c r="AQ256">
        <f>M256/2</f>
        <v>52</v>
      </c>
      <c r="AZ256" s="275"/>
    </row>
    <row r="257" spans="1:53">
      <c r="D257" t="s">
        <v>966</v>
      </c>
      <c r="M257">
        <v>15</v>
      </c>
      <c r="N257">
        <v>15</v>
      </c>
      <c r="O257">
        <v>15</v>
      </c>
      <c r="U257" s="16">
        <v>550100</v>
      </c>
      <c r="V257" t="s">
        <v>1114</v>
      </c>
      <c r="W257" t="s">
        <v>966</v>
      </c>
      <c r="Y257" t="s">
        <v>351</v>
      </c>
      <c r="Z257" t="str">
        <f>VLOOKUP(Y257,'Price Table 8 OHB'!A:B,2,FALSE)</f>
        <v>(System level) Assembly, Integration and Testing,Verification</v>
      </c>
      <c r="AC257" s="565"/>
      <c r="AP257">
        <f>M257/2</f>
        <v>7.5</v>
      </c>
      <c r="AQ257">
        <f>M257/2</f>
        <v>7.5</v>
      </c>
      <c r="AR257">
        <f>N257/2</f>
        <v>7.5</v>
      </c>
      <c r="AS257">
        <f>N257/2</f>
        <v>7.5</v>
      </c>
      <c r="AT257">
        <f>O257/2</f>
        <v>7.5</v>
      </c>
      <c r="AU257">
        <f>O257/2</f>
        <v>7.5</v>
      </c>
      <c r="AZ257" s="275"/>
    </row>
    <row r="258" spans="1:53" ht="15.75" thickBot="1">
      <c r="D258" t="s">
        <v>794</v>
      </c>
      <c r="G258" s="570"/>
      <c r="H258">
        <f>H255+H256+H257</f>
        <v>0</v>
      </c>
      <c r="I258">
        <f>I255+I256+I257</f>
        <v>0</v>
      </c>
      <c r="J258">
        <f t="shared" ref="J258:S258" si="125">J255+J256+J257</f>
        <v>0</v>
      </c>
      <c r="K258">
        <f t="shared" si="125"/>
        <v>0</v>
      </c>
      <c r="L258">
        <f t="shared" si="125"/>
        <v>0</v>
      </c>
      <c r="M258">
        <f t="shared" si="125"/>
        <v>467.78625052398922</v>
      </c>
      <c r="N258">
        <f t="shared" si="125"/>
        <v>363.78625052398922</v>
      </c>
      <c r="O258">
        <f t="shared" si="125"/>
        <v>197.86364848900575</v>
      </c>
      <c r="P258">
        <f t="shared" si="125"/>
        <v>0</v>
      </c>
      <c r="Q258">
        <f t="shared" si="125"/>
        <v>0</v>
      </c>
      <c r="R258">
        <f t="shared" si="125"/>
        <v>0</v>
      </c>
      <c r="S258">
        <f t="shared" si="125"/>
        <v>0</v>
      </c>
      <c r="T258">
        <f>SUM(H258:S258)</f>
        <v>1029.4361495369842</v>
      </c>
      <c r="U258" s="16"/>
      <c r="W258" t="s">
        <v>794</v>
      </c>
      <c r="AC258" s="567">
        <f>SUM(AC255:AC257)</f>
        <v>0</v>
      </c>
      <c r="AD258" s="265">
        <f t="shared" ref="AD258:AZ258" si="126">SUM(AD255:AD257)</f>
        <v>0</v>
      </c>
      <c r="AE258" s="265">
        <f t="shared" si="126"/>
        <v>0</v>
      </c>
      <c r="AF258" s="265">
        <f t="shared" si="126"/>
        <v>0</v>
      </c>
      <c r="AG258" s="265">
        <f t="shared" si="126"/>
        <v>0</v>
      </c>
      <c r="AH258" s="265">
        <f t="shared" si="126"/>
        <v>0</v>
      </c>
      <c r="AI258" s="265">
        <f t="shared" si="126"/>
        <v>0</v>
      </c>
      <c r="AJ258" s="265">
        <f t="shared" si="126"/>
        <v>0</v>
      </c>
      <c r="AK258" s="265">
        <f t="shared" si="126"/>
        <v>0</v>
      </c>
      <c r="AL258" s="265">
        <f t="shared" si="126"/>
        <v>0</v>
      </c>
      <c r="AM258" s="265">
        <f t="shared" si="126"/>
        <v>0</v>
      </c>
      <c r="AN258" s="265">
        <f t="shared" si="126"/>
        <v>0</v>
      </c>
      <c r="AO258" s="265">
        <f t="shared" si="126"/>
        <v>0</v>
      </c>
      <c r="AP258" s="265">
        <f t="shared" si="126"/>
        <v>233.89312526199461</v>
      </c>
      <c r="AQ258" s="265">
        <f t="shared" si="126"/>
        <v>233.89312526199461</v>
      </c>
      <c r="AR258" s="265">
        <f t="shared" si="126"/>
        <v>181.89312526199461</v>
      </c>
      <c r="AS258" s="265">
        <f t="shared" si="126"/>
        <v>181.89312526199461</v>
      </c>
      <c r="AT258" s="265">
        <f t="shared" si="126"/>
        <v>98.931824244502877</v>
      </c>
      <c r="AU258" s="265">
        <f t="shared" si="126"/>
        <v>98.931824244502877</v>
      </c>
      <c r="AV258" s="265">
        <f t="shared" si="126"/>
        <v>0</v>
      </c>
      <c r="AW258" s="265">
        <f t="shared" si="126"/>
        <v>0</v>
      </c>
      <c r="AX258" s="265">
        <f t="shared" si="126"/>
        <v>0</v>
      </c>
      <c r="AY258" s="265">
        <f t="shared" si="126"/>
        <v>0</v>
      </c>
      <c r="AZ258" s="276">
        <f t="shared" si="126"/>
        <v>0</v>
      </c>
      <c r="BA258" s="16">
        <f>SUM(AC258:AZ258)</f>
        <v>1029.4361495369842</v>
      </c>
    </row>
    <row r="259" spans="1:53" ht="23.1" customHeight="1" thickBot="1">
      <c r="A259" s="90"/>
      <c r="B259" s="91"/>
      <c r="C259" s="90"/>
      <c r="D259" s="90"/>
      <c r="E259" s="90"/>
      <c r="F259" s="90"/>
      <c r="G259" s="90"/>
      <c r="H259" s="90"/>
      <c r="I259" s="90"/>
      <c r="J259" s="90"/>
      <c r="K259" s="90"/>
      <c r="L259" s="90"/>
      <c r="M259" s="90"/>
      <c r="N259" s="90"/>
      <c r="O259" s="90"/>
      <c r="P259" s="90"/>
      <c r="Q259" s="90"/>
      <c r="R259" s="90"/>
      <c r="S259" s="90"/>
      <c r="W259" s="94" t="s">
        <v>1115</v>
      </c>
      <c r="X259" s="562" t="s">
        <v>1116</v>
      </c>
    </row>
    <row r="260" spans="1:53">
      <c r="A260" t="s">
        <v>1117</v>
      </c>
      <c r="D260" t="s">
        <v>791</v>
      </c>
      <c r="O260">
        <v>890</v>
      </c>
      <c r="P260">
        <v>215</v>
      </c>
      <c r="U260" s="16">
        <v>550200</v>
      </c>
      <c r="V260" t="s">
        <v>1118</v>
      </c>
      <c r="W260" t="s">
        <v>791</v>
      </c>
      <c r="AC260" s="563"/>
      <c r="AD260" s="564"/>
      <c r="AE260" s="564"/>
      <c r="AF260" s="564"/>
      <c r="AG260" s="564"/>
      <c r="AH260" s="564"/>
      <c r="AI260" s="564"/>
      <c r="AJ260" s="564"/>
      <c r="AK260" s="564"/>
      <c r="AL260" s="564"/>
      <c r="AM260" s="564"/>
      <c r="AN260" s="564"/>
      <c r="AO260" s="564"/>
      <c r="AP260" s="564"/>
      <c r="AQ260" s="564"/>
      <c r="AR260" s="564"/>
      <c r="AS260" s="564"/>
      <c r="AT260" s="564"/>
      <c r="AU260" s="568">
        <v>605</v>
      </c>
      <c r="AV260" s="568">
        <v>500</v>
      </c>
      <c r="AW260" s="564"/>
      <c r="AX260" s="564"/>
      <c r="AY260" s="564"/>
      <c r="AZ260" s="274"/>
    </row>
    <row r="261" spans="1:53">
      <c r="A261" t="s">
        <v>1118</v>
      </c>
      <c r="D261" t="s">
        <v>792</v>
      </c>
      <c r="H261">
        <f>H260*N30*0.001</f>
        <v>0</v>
      </c>
      <c r="I261">
        <f>I260*N30*0.001</f>
        <v>0</v>
      </c>
      <c r="J261">
        <f>J260*N30*0.001</f>
        <v>0</v>
      </c>
      <c r="K261">
        <f>K260*N30*0.001</f>
        <v>0</v>
      </c>
      <c r="L261">
        <f>L260*N30*0.001</f>
        <v>0</v>
      </c>
      <c r="M261">
        <f>M260*N30*0.001</f>
        <v>0</v>
      </c>
      <c r="N261">
        <f>N260*N30*0.001</f>
        <v>0</v>
      </c>
      <c r="O261">
        <f>O260*N30*0.001</f>
        <v>88.691360847528671</v>
      </c>
      <c r="P261">
        <f>P260*N30*0.001</f>
        <v>21.425441103616478</v>
      </c>
      <c r="Q261">
        <f>Q260*N30*0.001</f>
        <v>0</v>
      </c>
      <c r="R261">
        <f>R260*N30*0.001</f>
        <v>0</v>
      </c>
      <c r="S261">
        <f>S260*N30*0.001</f>
        <v>0</v>
      </c>
      <c r="U261" s="16">
        <v>550200</v>
      </c>
      <c r="V261" t="s">
        <v>1118</v>
      </c>
      <c r="W261" t="s">
        <v>792</v>
      </c>
      <c r="Y261" t="s">
        <v>351</v>
      </c>
      <c r="Z261" t="str">
        <f>VLOOKUP(Y261,'Price Table 8 OHB'!A:B,2,FALSE)</f>
        <v>(System level) Assembly, Integration and Testing,Verification</v>
      </c>
      <c r="AC261" s="565">
        <f>AC260*$N$30*0.001</f>
        <v>0</v>
      </c>
      <c r="AD261">
        <f t="shared" ref="AD261:AZ261" si="127">AD260*$N$30*0.001</f>
        <v>0</v>
      </c>
      <c r="AE261">
        <f t="shared" si="127"/>
        <v>0</v>
      </c>
      <c r="AF261">
        <f t="shared" si="127"/>
        <v>0</v>
      </c>
      <c r="AG261">
        <f t="shared" si="127"/>
        <v>0</v>
      </c>
      <c r="AH261">
        <f t="shared" si="127"/>
        <v>0</v>
      </c>
      <c r="AI261">
        <f t="shared" si="127"/>
        <v>0</v>
      </c>
      <c r="AJ261">
        <f t="shared" si="127"/>
        <v>0</v>
      </c>
      <c r="AK261">
        <f t="shared" si="127"/>
        <v>0</v>
      </c>
      <c r="AL261">
        <f t="shared" si="127"/>
        <v>0</v>
      </c>
      <c r="AM261">
        <f t="shared" si="127"/>
        <v>0</v>
      </c>
      <c r="AN261">
        <f t="shared" si="127"/>
        <v>0</v>
      </c>
      <c r="AO261">
        <f t="shared" si="127"/>
        <v>0</v>
      </c>
      <c r="AP261">
        <f t="shared" si="127"/>
        <v>0</v>
      </c>
      <c r="AQ261">
        <f t="shared" si="127"/>
        <v>0</v>
      </c>
      <c r="AR261">
        <f t="shared" si="127"/>
        <v>0</v>
      </c>
      <c r="AS261">
        <f t="shared" si="127"/>
        <v>0</v>
      </c>
      <c r="AT261">
        <f t="shared" si="127"/>
        <v>0</v>
      </c>
      <c r="AU261">
        <f t="shared" si="127"/>
        <v>60.290194733432415</v>
      </c>
      <c r="AV261">
        <f t="shared" si="127"/>
        <v>49.826607217712741</v>
      </c>
      <c r="AW261">
        <f t="shared" si="127"/>
        <v>0</v>
      </c>
      <c r="AX261">
        <f t="shared" si="127"/>
        <v>0</v>
      </c>
      <c r="AY261">
        <f t="shared" si="127"/>
        <v>0</v>
      </c>
      <c r="AZ261" s="275">
        <f t="shared" si="127"/>
        <v>0</v>
      </c>
    </row>
    <row r="262" spans="1:53">
      <c r="A262" s="17"/>
      <c r="C262" s="17"/>
      <c r="D262" s="63" t="s">
        <v>793</v>
      </c>
      <c r="O262">
        <v>114</v>
      </c>
      <c r="U262" s="16">
        <v>550200</v>
      </c>
      <c r="V262" t="s">
        <v>1118</v>
      </c>
      <c r="W262" t="s">
        <v>793</v>
      </c>
      <c r="Y262" t="s">
        <v>351</v>
      </c>
      <c r="Z262" t="str">
        <f>VLOOKUP(Y262,'Price Table 8 OHB'!A:B,2,FALSE)</f>
        <v>(System level) Assembly, Integration and Testing,Verification</v>
      </c>
      <c r="AC262" s="565"/>
      <c r="AU262">
        <f>O262</f>
        <v>114</v>
      </c>
      <c r="AZ262" s="275"/>
    </row>
    <row r="263" spans="1:53">
      <c r="A263" s="17"/>
      <c r="C263" s="17"/>
      <c r="D263" s="63" t="s">
        <v>966</v>
      </c>
      <c r="U263" s="16">
        <v>550200</v>
      </c>
      <c r="V263" t="s">
        <v>1118</v>
      </c>
      <c r="W263" t="s">
        <v>966</v>
      </c>
      <c r="Y263" t="s">
        <v>351</v>
      </c>
      <c r="Z263" t="str">
        <f>VLOOKUP(Y263,'Price Table 8 OHB'!A:B,2,FALSE)</f>
        <v>(System level) Assembly, Integration and Testing,Verification</v>
      </c>
      <c r="AC263" s="565"/>
      <c r="AZ263" s="275"/>
    </row>
    <row r="264" spans="1:53" ht="15.75" thickBot="1">
      <c r="D264" t="s">
        <v>794</v>
      </c>
      <c r="G264" s="570"/>
      <c r="H264">
        <f>H261+H262+H263</f>
        <v>0</v>
      </c>
      <c r="I264">
        <f>I261+I262+I263</f>
        <v>0</v>
      </c>
      <c r="J264">
        <f t="shared" ref="J264:S264" si="128">J261+J262+J263</f>
        <v>0</v>
      </c>
      <c r="K264">
        <f t="shared" si="128"/>
        <v>0</v>
      </c>
      <c r="L264">
        <f t="shared" si="128"/>
        <v>0</v>
      </c>
      <c r="M264">
        <f t="shared" si="128"/>
        <v>0</v>
      </c>
      <c r="N264">
        <f t="shared" si="128"/>
        <v>0</v>
      </c>
      <c r="O264">
        <f t="shared" si="128"/>
        <v>202.69136084752867</v>
      </c>
      <c r="P264">
        <f t="shared" si="128"/>
        <v>21.425441103616478</v>
      </c>
      <c r="Q264">
        <f t="shared" si="128"/>
        <v>0</v>
      </c>
      <c r="R264">
        <f t="shared" si="128"/>
        <v>0</v>
      </c>
      <c r="S264">
        <f t="shared" si="128"/>
        <v>0</v>
      </c>
      <c r="T264">
        <f>SUM(H264:S264)</f>
        <v>224.11680195114513</v>
      </c>
      <c r="U264" s="16"/>
      <c r="W264" t="s">
        <v>794</v>
      </c>
      <c r="AC264" s="567">
        <f>SUM(AC261:AC263)</f>
        <v>0</v>
      </c>
      <c r="AD264" s="265">
        <f t="shared" ref="AD264:AZ264" si="129">SUM(AD261:AD263)</f>
        <v>0</v>
      </c>
      <c r="AE264" s="265">
        <f t="shared" si="129"/>
        <v>0</v>
      </c>
      <c r="AF264" s="265">
        <f t="shared" si="129"/>
        <v>0</v>
      </c>
      <c r="AG264" s="265">
        <f t="shared" si="129"/>
        <v>0</v>
      </c>
      <c r="AH264" s="265">
        <f t="shared" si="129"/>
        <v>0</v>
      </c>
      <c r="AI264" s="265">
        <f t="shared" si="129"/>
        <v>0</v>
      </c>
      <c r="AJ264" s="265">
        <f t="shared" si="129"/>
        <v>0</v>
      </c>
      <c r="AK264" s="265">
        <f t="shared" si="129"/>
        <v>0</v>
      </c>
      <c r="AL264" s="265">
        <f t="shared" si="129"/>
        <v>0</v>
      </c>
      <c r="AM264" s="265">
        <f t="shared" si="129"/>
        <v>0</v>
      </c>
      <c r="AN264" s="265">
        <f t="shared" si="129"/>
        <v>0</v>
      </c>
      <c r="AO264" s="265">
        <f t="shared" si="129"/>
        <v>0</v>
      </c>
      <c r="AP264" s="265">
        <f t="shared" si="129"/>
        <v>0</v>
      </c>
      <c r="AQ264" s="265">
        <f t="shared" si="129"/>
        <v>0</v>
      </c>
      <c r="AR264" s="265">
        <f t="shared" si="129"/>
        <v>0</v>
      </c>
      <c r="AS264" s="265">
        <f t="shared" si="129"/>
        <v>0</v>
      </c>
      <c r="AT264" s="265">
        <f t="shared" si="129"/>
        <v>0</v>
      </c>
      <c r="AU264" s="265">
        <f t="shared" si="129"/>
        <v>174.29019473343243</v>
      </c>
      <c r="AV264" s="265">
        <f t="shared" si="129"/>
        <v>49.826607217712741</v>
      </c>
      <c r="AW264" s="265">
        <f t="shared" si="129"/>
        <v>0</v>
      </c>
      <c r="AX264" s="265">
        <f t="shared" si="129"/>
        <v>0</v>
      </c>
      <c r="AY264" s="265">
        <f t="shared" si="129"/>
        <v>0</v>
      </c>
      <c r="AZ264" s="276">
        <f t="shared" si="129"/>
        <v>0</v>
      </c>
      <c r="BA264" s="16">
        <f>SUM(AC264:AZ264)</f>
        <v>224.11680195114516</v>
      </c>
    </row>
    <row r="265" spans="1:53" ht="41.1" customHeight="1" thickBot="1">
      <c r="A265" s="90"/>
      <c r="B265" s="91"/>
      <c r="C265" s="90"/>
      <c r="D265" s="90"/>
      <c r="E265" s="90"/>
      <c r="F265" s="90"/>
      <c r="G265" s="90"/>
      <c r="H265" s="90"/>
      <c r="I265" s="90"/>
      <c r="J265" s="90"/>
      <c r="K265" s="90"/>
      <c r="L265" s="90"/>
      <c r="M265" s="90"/>
      <c r="N265" s="90"/>
      <c r="O265" s="90"/>
      <c r="P265" s="90"/>
      <c r="Q265" s="90"/>
      <c r="R265" s="90"/>
      <c r="S265" s="90"/>
      <c r="W265" s="94" t="s">
        <v>1119</v>
      </c>
      <c r="X265" s="562" t="s">
        <v>1120</v>
      </c>
    </row>
    <row r="266" spans="1:53">
      <c r="A266" t="s">
        <v>1121</v>
      </c>
      <c r="C266" s="17"/>
      <c r="D266" t="s">
        <v>791</v>
      </c>
      <c r="P266">
        <v>1443</v>
      </c>
      <c r="Q266">
        <v>702</v>
      </c>
      <c r="U266" s="92">
        <v>730000</v>
      </c>
      <c r="V266" s="92" t="s">
        <v>1122</v>
      </c>
      <c r="W266" t="s">
        <v>791</v>
      </c>
      <c r="AC266" s="563"/>
      <c r="AD266" s="564"/>
      <c r="AE266" s="564"/>
      <c r="AF266" s="564"/>
      <c r="AG266" s="564"/>
      <c r="AH266" s="564"/>
      <c r="AI266" s="564"/>
      <c r="AJ266" s="564"/>
      <c r="AK266" s="564"/>
      <c r="AL266" s="564"/>
      <c r="AM266" s="564"/>
      <c r="AN266" s="564"/>
      <c r="AO266" s="564"/>
      <c r="AP266" s="564"/>
      <c r="AQ266" s="564"/>
      <c r="AR266" s="564"/>
      <c r="AS266" s="564"/>
      <c r="AT266" s="564"/>
      <c r="AU266" s="564"/>
      <c r="AV266" s="568">
        <v>1243</v>
      </c>
      <c r="AW266" s="568">
        <v>902</v>
      </c>
      <c r="AX266" s="564"/>
      <c r="AY266" s="564"/>
      <c r="AZ266" s="274"/>
    </row>
    <row r="267" spans="1:53">
      <c r="A267" s="92" t="s">
        <v>917</v>
      </c>
      <c r="D267" t="s">
        <v>998</v>
      </c>
      <c r="H267">
        <f>H266*N30*0.001</f>
        <v>0</v>
      </c>
      <c r="I267">
        <f>I266*N30*0.001</f>
        <v>0</v>
      </c>
      <c r="J267">
        <f>J266*N30*0.001</f>
        <v>0</v>
      </c>
      <c r="K267">
        <f>K266*N30*0.001</f>
        <v>0</v>
      </c>
      <c r="L267">
        <f>L266*N30*0.001</f>
        <v>0</v>
      </c>
      <c r="M267">
        <f>M266*N30*0.001</f>
        <v>0</v>
      </c>
      <c r="N267">
        <f>N266*N30*0.001</f>
        <v>0</v>
      </c>
      <c r="O267">
        <f>O266*N30*0.001</f>
        <v>0</v>
      </c>
      <c r="P267">
        <f>P266*N30*0.001</f>
        <v>143.79958843031898</v>
      </c>
      <c r="Q267">
        <f>Q266*N30*0.001</f>
        <v>69.956556533668689</v>
      </c>
      <c r="R267">
        <f>R266*N30*0.001</f>
        <v>0</v>
      </c>
      <c r="S267">
        <f>S266*N30*0.001</f>
        <v>0</v>
      </c>
      <c r="U267" s="92">
        <v>730000</v>
      </c>
      <c r="V267" s="92" t="s">
        <v>1122</v>
      </c>
      <c r="W267" t="s">
        <v>792</v>
      </c>
      <c r="Y267" t="s">
        <v>434</v>
      </c>
      <c r="Z267" t="str">
        <f>VLOOKUP(Y267,'Price Table 8 OHB'!A:B,2,FALSE)</f>
        <v>Mission Operations</v>
      </c>
      <c r="AC267" s="565">
        <f>AC266*$N$30*0.001</f>
        <v>0</v>
      </c>
      <c r="AD267">
        <f t="shared" ref="AD267:AZ267" si="130">AD266*$N$30*0.001</f>
        <v>0</v>
      </c>
      <c r="AE267">
        <f t="shared" si="130"/>
        <v>0</v>
      </c>
      <c r="AF267">
        <f t="shared" si="130"/>
        <v>0</v>
      </c>
      <c r="AG267">
        <f t="shared" si="130"/>
        <v>0</v>
      </c>
      <c r="AH267">
        <f t="shared" si="130"/>
        <v>0</v>
      </c>
      <c r="AI267">
        <f t="shared" si="130"/>
        <v>0</v>
      </c>
      <c r="AJ267">
        <f t="shared" si="130"/>
        <v>0</v>
      </c>
      <c r="AK267">
        <f t="shared" si="130"/>
        <v>0</v>
      </c>
      <c r="AL267">
        <f t="shared" si="130"/>
        <v>0</v>
      </c>
      <c r="AM267">
        <f t="shared" si="130"/>
        <v>0</v>
      </c>
      <c r="AN267">
        <f t="shared" si="130"/>
        <v>0</v>
      </c>
      <c r="AO267">
        <f t="shared" si="130"/>
        <v>0</v>
      </c>
      <c r="AP267">
        <f t="shared" si="130"/>
        <v>0</v>
      </c>
      <c r="AQ267">
        <f t="shared" si="130"/>
        <v>0</v>
      </c>
      <c r="AR267">
        <f t="shared" si="130"/>
        <v>0</v>
      </c>
      <c r="AS267">
        <f t="shared" si="130"/>
        <v>0</v>
      </c>
      <c r="AT267">
        <f t="shared" si="130"/>
        <v>0</v>
      </c>
      <c r="AU267">
        <f t="shared" si="130"/>
        <v>0</v>
      </c>
      <c r="AV267">
        <f t="shared" si="130"/>
        <v>123.86894554323388</v>
      </c>
      <c r="AW267">
        <f t="shared" si="130"/>
        <v>89.887199420753774</v>
      </c>
      <c r="AX267">
        <f t="shared" si="130"/>
        <v>0</v>
      </c>
      <c r="AY267">
        <f t="shared" si="130"/>
        <v>0</v>
      </c>
      <c r="AZ267" s="275">
        <f t="shared" si="130"/>
        <v>0</v>
      </c>
    </row>
    <row r="268" spans="1:53">
      <c r="A268" s="92" t="s">
        <v>1123</v>
      </c>
      <c r="D268" t="s">
        <v>793</v>
      </c>
      <c r="P268">
        <f>220+P411</f>
        <v>397.5</v>
      </c>
      <c r="Q268">
        <f>Q411</f>
        <v>177.5</v>
      </c>
      <c r="U268" s="92">
        <v>730000</v>
      </c>
      <c r="V268" s="92" t="s">
        <v>1122</v>
      </c>
      <c r="W268" t="s">
        <v>793</v>
      </c>
      <c r="Y268" t="s">
        <v>631</v>
      </c>
      <c r="Z268" t="str">
        <f>VLOOKUP(Y268,'Price Table 8 OHB'!A:B,2,FALSE)</f>
        <v>Ground Segment - Procurement</v>
      </c>
      <c r="AC268" s="565"/>
      <c r="AV268">
        <f>P268</f>
        <v>397.5</v>
      </c>
      <c r="AW268">
        <f>Q268</f>
        <v>177.5</v>
      </c>
      <c r="AZ268" s="275"/>
    </row>
    <row r="269" spans="1:53">
      <c r="A269" s="92"/>
      <c r="D269" t="s">
        <v>966</v>
      </c>
      <c r="P269">
        <v>50</v>
      </c>
      <c r="Q269">
        <v>54</v>
      </c>
      <c r="U269" s="92">
        <v>730000</v>
      </c>
      <c r="V269" s="92" t="s">
        <v>1122</v>
      </c>
      <c r="W269" t="s">
        <v>966</v>
      </c>
      <c r="Y269" t="s">
        <v>434</v>
      </c>
      <c r="Z269" t="str">
        <f>VLOOKUP(Y269,'Price Table 8 OHB'!A:B,2,FALSE)</f>
        <v>Mission Operations</v>
      </c>
      <c r="AC269" s="565"/>
      <c r="AV269">
        <f>P269</f>
        <v>50</v>
      </c>
      <c r="AW269">
        <f>Q269</f>
        <v>54</v>
      </c>
      <c r="AZ269" s="275"/>
    </row>
    <row r="270" spans="1:53" ht="15.75" thickBot="1">
      <c r="D270" t="s">
        <v>794</v>
      </c>
      <c r="G270" s="570"/>
      <c r="H270">
        <f>H267+H268+H269</f>
        <v>0</v>
      </c>
      <c r="I270">
        <f>I267+I268+I269</f>
        <v>0</v>
      </c>
      <c r="J270">
        <f t="shared" ref="J270:S270" si="131">J267+J268+J269</f>
        <v>0</v>
      </c>
      <c r="K270">
        <f t="shared" si="131"/>
        <v>0</v>
      </c>
      <c r="L270">
        <f t="shared" si="131"/>
        <v>0</v>
      </c>
      <c r="M270">
        <f t="shared" si="131"/>
        <v>0</v>
      </c>
      <c r="N270">
        <f t="shared" si="131"/>
        <v>0</v>
      </c>
      <c r="O270">
        <f t="shared" si="131"/>
        <v>0</v>
      </c>
      <c r="P270">
        <f t="shared" si="131"/>
        <v>591.29958843031898</v>
      </c>
      <c r="Q270">
        <f t="shared" si="131"/>
        <v>301.45655653366867</v>
      </c>
      <c r="R270">
        <f t="shared" si="131"/>
        <v>0</v>
      </c>
      <c r="S270">
        <f t="shared" si="131"/>
        <v>0</v>
      </c>
      <c r="T270">
        <f>SUM(H270:S270)</f>
        <v>892.75614496398771</v>
      </c>
      <c r="U270" s="92"/>
      <c r="V270" s="92"/>
      <c r="W270" t="s">
        <v>794</v>
      </c>
      <c r="AC270" s="567">
        <f>SUM(AC267:AC269)</f>
        <v>0</v>
      </c>
      <c r="AD270" s="265">
        <f t="shared" ref="AD270:AZ270" si="132">SUM(AD267:AD269)</f>
        <v>0</v>
      </c>
      <c r="AE270" s="265">
        <f t="shared" si="132"/>
        <v>0</v>
      </c>
      <c r="AF270" s="265">
        <f t="shared" si="132"/>
        <v>0</v>
      </c>
      <c r="AG270" s="265">
        <f t="shared" si="132"/>
        <v>0</v>
      </c>
      <c r="AH270" s="265">
        <f t="shared" si="132"/>
        <v>0</v>
      </c>
      <c r="AI270" s="265">
        <f t="shared" si="132"/>
        <v>0</v>
      </c>
      <c r="AJ270" s="265">
        <f t="shared" si="132"/>
        <v>0</v>
      </c>
      <c r="AK270" s="265">
        <f t="shared" si="132"/>
        <v>0</v>
      </c>
      <c r="AL270" s="265">
        <f t="shared" si="132"/>
        <v>0</v>
      </c>
      <c r="AM270" s="265">
        <f t="shared" si="132"/>
        <v>0</v>
      </c>
      <c r="AN270" s="265">
        <f t="shared" si="132"/>
        <v>0</v>
      </c>
      <c r="AO270" s="265">
        <f t="shared" si="132"/>
        <v>0</v>
      </c>
      <c r="AP270" s="265">
        <f t="shared" si="132"/>
        <v>0</v>
      </c>
      <c r="AQ270" s="265">
        <f t="shared" si="132"/>
        <v>0</v>
      </c>
      <c r="AR270" s="265">
        <f t="shared" si="132"/>
        <v>0</v>
      </c>
      <c r="AS270" s="265">
        <f t="shared" si="132"/>
        <v>0</v>
      </c>
      <c r="AT270" s="265">
        <f t="shared" si="132"/>
        <v>0</v>
      </c>
      <c r="AU270" s="265">
        <f t="shared" si="132"/>
        <v>0</v>
      </c>
      <c r="AV270" s="265">
        <f t="shared" si="132"/>
        <v>571.36894554323385</v>
      </c>
      <c r="AW270" s="265">
        <f t="shared" si="132"/>
        <v>321.38719942075375</v>
      </c>
      <c r="AX270" s="265">
        <f t="shared" si="132"/>
        <v>0</v>
      </c>
      <c r="AY270" s="265">
        <f t="shared" si="132"/>
        <v>0</v>
      </c>
      <c r="AZ270" s="276">
        <f t="shared" si="132"/>
        <v>0</v>
      </c>
      <c r="BA270" s="16">
        <f>SUM(AC270:AZ270)</f>
        <v>892.75614496398759</v>
      </c>
    </row>
    <row r="271" spans="1:53" ht="15.75" thickBot="1">
      <c r="A271" s="73"/>
      <c r="B271" s="70"/>
      <c r="C271" s="73"/>
      <c r="D271" s="73"/>
      <c r="E271" s="73"/>
      <c r="F271" s="73"/>
      <c r="G271" s="566"/>
      <c r="H271" s="73"/>
      <c r="I271" s="73"/>
      <c r="J271" s="73"/>
      <c r="K271" s="73"/>
      <c r="L271" s="73"/>
      <c r="M271" s="73"/>
      <c r="N271" s="73"/>
      <c r="O271" s="73"/>
      <c r="P271" s="73"/>
      <c r="Q271" s="73"/>
      <c r="R271" s="73"/>
      <c r="S271" s="73"/>
      <c r="W271" s="72" t="s">
        <v>1124</v>
      </c>
    </row>
    <row r="272" spans="1:53">
      <c r="A272" s="73" t="s">
        <v>1124</v>
      </c>
      <c r="B272" s="70"/>
      <c r="C272" s="73"/>
      <c r="D272" s="73" t="s">
        <v>791</v>
      </c>
      <c r="E272" s="73"/>
      <c r="F272" s="73"/>
      <c r="G272" s="566"/>
      <c r="H272" s="73">
        <f>H236+H242+H248+H254+H260+H266</f>
        <v>0</v>
      </c>
      <c r="I272" s="73">
        <f>I236+I242+I248+I254+I260+I266</f>
        <v>0</v>
      </c>
      <c r="J272" s="73">
        <f t="shared" ref="J272:S272" si="133">J236+J242+J248+J254+J260+J266</f>
        <v>0</v>
      </c>
      <c r="K272" s="73">
        <f t="shared" si="133"/>
        <v>400</v>
      </c>
      <c r="L272" s="73">
        <f t="shared" si="133"/>
        <v>3192</v>
      </c>
      <c r="M272" s="73">
        <f t="shared" si="133"/>
        <v>3500</v>
      </c>
      <c r="N272" s="73">
        <f t="shared" si="133"/>
        <v>3500</v>
      </c>
      <c r="O272" s="73">
        <f t="shared" si="133"/>
        <v>2725</v>
      </c>
      <c r="P272" s="73">
        <f t="shared" si="133"/>
        <v>1658</v>
      </c>
      <c r="Q272" s="73">
        <f t="shared" si="133"/>
        <v>702</v>
      </c>
      <c r="R272" s="73">
        <f t="shared" si="133"/>
        <v>0</v>
      </c>
      <c r="S272" s="73">
        <f t="shared" si="133"/>
        <v>0</v>
      </c>
      <c r="V272" s="72" t="s">
        <v>1124</v>
      </c>
      <c r="W272" s="73" t="s">
        <v>791</v>
      </c>
      <c r="AC272" s="571">
        <f>SUM(AC236,AC242,AC248,AC254,AC260,AC266)</f>
        <v>0</v>
      </c>
      <c r="AD272" s="572">
        <f t="shared" ref="AD272:AZ272" si="134">SUM(AD236,AD242,AD248,AD254,AD260,AD266)</f>
        <v>0</v>
      </c>
      <c r="AE272" s="572">
        <f t="shared" si="134"/>
        <v>0</v>
      </c>
      <c r="AF272" s="572">
        <f t="shared" si="134"/>
        <v>0</v>
      </c>
      <c r="AG272" s="572">
        <f t="shared" si="134"/>
        <v>0</v>
      </c>
      <c r="AH272" s="572">
        <f t="shared" si="134"/>
        <v>0</v>
      </c>
      <c r="AI272" s="572">
        <f t="shared" si="134"/>
        <v>2392</v>
      </c>
      <c r="AJ272" s="572">
        <f t="shared" si="134"/>
        <v>530</v>
      </c>
      <c r="AK272" s="572">
        <f t="shared" si="134"/>
        <v>0</v>
      </c>
      <c r="AL272" s="572">
        <f t="shared" si="134"/>
        <v>200</v>
      </c>
      <c r="AM272" s="572">
        <f t="shared" si="134"/>
        <v>200</v>
      </c>
      <c r="AN272" s="572">
        <f t="shared" si="134"/>
        <v>135</v>
      </c>
      <c r="AO272" s="572">
        <f t="shared" si="134"/>
        <v>135</v>
      </c>
      <c r="AP272" s="572">
        <f t="shared" si="134"/>
        <v>1750</v>
      </c>
      <c r="AQ272" s="572">
        <f t="shared" si="134"/>
        <v>1750</v>
      </c>
      <c r="AR272" s="572">
        <f t="shared" si="134"/>
        <v>1750</v>
      </c>
      <c r="AS272" s="572">
        <f t="shared" si="134"/>
        <v>1750</v>
      </c>
      <c r="AT272" s="572">
        <f t="shared" si="134"/>
        <v>917.5</v>
      </c>
      <c r="AU272" s="572">
        <f t="shared" si="134"/>
        <v>1522.5</v>
      </c>
      <c r="AV272" s="572">
        <f t="shared" si="134"/>
        <v>1743</v>
      </c>
      <c r="AW272" s="572">
        <f t="shared" si="134"/>
        <v>902</v>
      </c>
      <c r="AX272" s="572">
        <f t="shared" si="134"/>
        <v>0</v>
      </c>
      <c r="AY272" s="572">
        <f t="shared" si="134"/>
        <v>0</v>
      </c>
      <c r="AZ272" s="573">
        <f t="shared" si="134"/>
        <v>0</v>
      </c>
      <c r="BA272">
        <f>SUM(AC272:AZ272)</f>
        <v>15677</v>
      </c>
    </row>
    <row r="273" spans="1:53">
      <c r="A273" s="73"/>
      <c r="B273" s="70"/>
      <c r="C273" s="73"/>
      <c r="D273" s="73" t="s">
        <v>792</v>
      </c>
      <c r="E273" s="73"/>
      <c r="F273" s="73"/>
      <c r="G273" s="566"/>
      <c r="H273" s="73">
        <f>H272*N30*0.001</f>
        <v>0</v>
      </c>
      <c r="I273" s="73">
        <f>I272*N30*0.001</f>
        <v>0</v>
      </c>
      <c r="J273" s="73">
        <f>J272*N30*0.001</f>
        <v>0</v>
      </c>
      <c r="K273" s="73">
        <f>K272*N30*0.001</f>
        <v>39.861285774170199</v>
      </c>
      <c r="L273" s="73">
        <f>L272*N30*0.001</f>
        <v>318.09306047787817</v>
      </c>
      <c r="M273" s="73">
        <f>M272*N30*0.001</f>
        <v>348.78625052398922</v>
      </c>
      <c r="N273" s="73">
        <f>N272*N30*0.001</f>
        <v>348.78625052398922</v>
      </c>
      <c r="O273" s="73">
        <f>O272*N30*0.001</f>
        <v>271.55500933653445</v>
      </c>
      <c r="P273" s="73">
        <f>P272*N30*0.001</f>
        <v>165.22502953393544</v>
      </c>
      <c r="Q273" s="73">
        <f>Q272*N30*0.001</f>
        <v>69.956556533668689</v>
      </c>
      <c r="R273" s="73">
        <f>R272*N30*0.001</f>
        <v>0</v>
      </c>
      <c r="S273" s="73">
        <f>S272*N30*0.001</f>
        <v>0</v>
      </c>
      <c r="V273" s="72" t="s">
        <v>1124</v>
      </c>
      <c r="W273" s="73" t="s">
        <v>792</v>
      </c>
      <c r="AC273" s="574">
        <f t="shared" ref="AC273:AZ276" si="135">SUM(AC237,AC243,AC249,AC255,AC261,AC267)</f>
        <v>0</v>
      </c>
      <c r="AD273" s="73">
        <f t="shared" si="135"/>
        <v>0</v>
      </c>
      <c r="AE273" s="73">
        <f t="shared" si="135"/>
        <v>0</v>
      </c>
      <c r="AF273" s="73">
        <f t="shared" si="135"/>
        <v>0</v>
      </c>
      <c r="AG273" s="73">
        <f t="shared" si="135"/>
        <v>0</v>
      </c>
      <c r="AH273" s="73">
        <f t="shared" si="135"/>
        <v>0</v>
      </c>
      <c r="AI273" s="73">
        <f t="shared" si="135"/>
        <v>238.37048892953777</v>
      </c>
      <c r="AJ273" s="73">
        <f t="shared" si="135"/>
        <v>52.816203650775506</v>
      </c>
      <c r="AK273" s="73">
        <f t="shared" si="135"/>
        <v>0</v>
      </c>
      <c r="AL273" s="73">
        <f t="shared" si="135"/>
        <v>19.930642887085099</v>
      </c>
      <c r="AM273" s="73">
        <f t="shared" si="135"/>
        <v>19.930642887085099</v>
      </c>
      <c r="AN273" s="73">
        <f t="shared" si="135"/>
        <v>13.45318394878244</v>
      </c>
      <c r="AO273" s="73">
        <f t="shared" si="135"/>
        <v>13.45318394878244</v>
      </c>
      <c r="AP273" s="73">
        <f t="shared" si="135"/>
        <v>174.39312526199461</v>
      </c>
      <c r="AQ273" s="73">
        <f t="shared" si="135"/>
        <v>174.39312526199461</v>
      </c>
      <c r="AR273" s="73">
        <f t="shared" si="135"/>
        <v>174.39312526199461</v>
      </c>
      <c r="AS273" s="73">
        <f t="shared" si="135"/>
        <v>174.39312526199461</v>
      </c>
      <c r="AT273" s="73">
        <f t="shared" si="135"/>
        <v>91.431824244502877</v>
      </c>
      <c r="AU273" s="73">
        <f t="shared" si="135"/>
        <v>151.72201897793531</v>
      </c>
      <c r="AV273" s="73">
        <f t="shared" si="135"/>
        <v>173.69555276094661</v>
      </c>
      <c r="AW273" s="73">
        <f t="shared" si="135"/>
        <v>89.887199420753774</v>
      </c>
      <c r="AX273" s="73">
        <f t="shared" si="135"/>
        <v>0</v>
      </c>
      <c r="AY273" s="73">
        <f t="shared" si="135"/>
        <v>0</v>
      </c>
      <c r="AZ273" s="575">
        <f t="shared" si="135"/>
        <v>0</v>
      </c>
      <c r="BA273">
        <f t="shared" ref="BA273:BA275" si="136">SUM(AC273:AZ273)</f>
        <v>1562.2634427041653</v>
      </c>
    </row>
    <row r="274" spans="1:53">
      <c r="A274" s="73"/>
      <c r="B274" s="70"/>
      <c r="C274" s="73"/>
      <c r="D274" s="73" t="s">
        <v>793</v>
      </c>
      <c r="E274" s="73"/>
      <c r="F274" s="73"/>
      <c r="G274" s="566"/>
      <c r="H274" s="73">
        <f>H238+H244+H250+H256+H262+H268</f>
        <v>0</v>
      </c>
      <c r="I274" s="73">
        <f>I238+I244+I250+I256+I262+I268</f>
        <v>0</v>
      </c>
      <c r="J274" s="73">
        <f t="shared" ref="J274:S275" si="137">J238+J244+J250+J256+J262+J268</f>
        <v>0</v>
      </c>
      <c r="K274" s="73">
        <f t="shared" si="137"/>
        <v>10</v>
      </c>
      <c r="L274" s="73">
        <f t="shared" si="137"/>
        <v>68.55</v>
      </c>
      <c r="M274" s="73">
        <f t="shared" si="137"/>
        <v>104</v>
      </c>
      <c r="N274" s="73">
        <f t="shared" si="137"/>
        <v>0</v>
      </c>
      <c r="O274" s="73">
        <f t="shared" si="137"/>
        <v>114</v>
      </c>
      <c r="P274" s="73">
        <f t="shared" si="137"/>
        <v>397.5</v>
      </c>
      <c r="Q274" s="73">
        <f t="shared" si="137"/>
        <v>177.5</v>
      </c>
      <c r="R274" s="73">
        <f t="shared" si="137"/>
        <v>0</v>
      </c>
      <c r="S274" s="73">
        <f t="shared" si="137"/>
        <v>0</v>
      </c>
      <c r="V274" s="72" t="s">
        <v>1124</v>
      </c>
      <c r="W274" s="73" t="s">
        <v>793</v>
      </c>
      <c r="AC274" s="574">
        <f t="shared" si="135"/>
        <v>0</v>
      </c>
      <c r="AD274" s="73">
        <f t="shared" si="135"/>
        <v>0</v>
      </c>
      <c r="AE274" s="73">
        <f t="shared" si="135"/>
        <v>0</v>
      </c>
      <c r="AF274" s="73">
        <f t="shared" si="135"/>
        <v>0</v>
      </c>
      <c r="AG274" s="73">
        <f t="shared" si="135"/>
        <v>0</v>
      </c>
      <c r="AH274" s="73">
        <f t="shared" si="135"/>
        <v>0</v>
      </c>
      <c r="AI274" s="73">
        <f t="shared" si="135"/>
        <v>34.274999999999999</v>
      </c>
      <c r="AJ274" s="73">
        <f t="shared" si="135"/>
        <v>34.274999999999999</v>
      </c>
      <c r="AK274" s="73">
        <f t="shared" si="135"/>
        <v>0</v>
      </c>
      <c r="AL274" s="73">
        <f t="shared" si="135"/>
        <v>10</v>
      </c>
      <c r="AM274" s="73">
        <f t="shared" si="135"/>
        <v>0</v>
      </c>
      <c r="AN274" s="73">
        <f t="shared" si="135"/>
        <v>0</v>
      </c>
      <c r="AO274" s="73">
        <f t="shared" si="135"/>
        <v>0</v>
      </c>
      <c r="AP274" s="73">
        <f t="shared" si="135"/>
        <v>52</v>
      </c>
      <c r="AQ274" s="73">
        <f t="shared" si="135"/>
        <v>52</v>
      </c>
      <c r="AR274" s="73">
        <f t="shared" si="135"/>
        <v>0</v>
      </c>
      <c r="AS274" s="73">
        <f t="shared" si="135"/>
        <v>0</v>
      </c>
      <c r="AT274" s="73">
        <f t="shared" si="135"/>
        <v>0</v>
      </c>
      <c r="AU274" s="73">
        <f t="shared" si="135"/>
        <v>114</v>
      </c>
      <c r="AV274" s="73">
        <f t="shared" si="135"/>
        <v>397.5</v>
      </c>
      <c r="AW274" s="73">
        <f t="shared" si="135"/>
        <v>177.5</v>
      </c>
      <c r="AX274" s="73">
        <f t="shared" si="135"/>
        <v>0</v>
      </c>
      <c r="AY274" s="73">
        <f t="shared" si="135"/>
        <v>0</v>
      </c>
      <c r="AZ274" s="575">
        <f t="shared" si="135"/>
        <v>0</v>
      </c>
      <c r="BA274">
        <f t="shared" si="136"/>
        <v>871.55</v>
      </c>
    </row>
    <row r="275" spans="1:53">
      <c r="A275" s="73"/>
      <c r="B275" s="70"/>
      <c r="C275" s="73"/>
      <c r="D275" s="73" t="s">
        <v>966</v>
      </c>
      <c r="E275" s="73"/>
      <c r="F275" s="73"/>
      <c r="G275" s="566"/>
      <c r="H275" s="73">
        <f>H239+H245+H251+H257+H263+H269</f>
        <v>0</v>
      </c>
      <c r="I275" s="73">
        <f>I239+I245+I251+I257+I263+I269</f>
        <v>0</v>
      </c>
      <c r="J275" s="73">
        <f t="shared" si="137"/>
        <v>0</v>
      </c>
      <c r="K275" s="73">
        <f t="shared" si="137"/>
        <v>0</v>
      </c>
      <c r="L275" s="73">
        <f t="shared" si="137"/>
        <v>0</v>
      </c>
      <c r="M275" s="73">
        <f t="shared" si="137"/>
        <v>15</v>
      </c>
      <c r="N275" s="73">
        <f t="shared" si="137"/>
        <v>15</v>
      </c>
      <c r="O275" s="73">
        <f t="shared" si="137"/>
        <v>15</v>
      </c>
      <c r="P275" s="73">
        <f t="shared" si="137"/>
        <v>50</v>
      </c>
      <c r="Q275" s="73">
        <f t="shared" si="137"/>
        <v>54</v>
      </c>
      <c r="R275" s="73">
        <f t="shared" si="137"/>
        <v>0</v>
      </c>
      <c r="S275" s="73">
        <f t="shared" si="137"/>
        <v>0</v>
      </c>
      <c r="V275" s="72" t="s">
        <v>1124</v>
      </c>
      <c r="W275" s="73" t="s">
        <v>966</v>
      </c>
      <c r="AC275" s="574">
        <f t="shared" si="135"/>
        <v>0</v>
      </c>
      <c r="AD275" s="73">
        <f t="shared" si="135"/>
        <v>0</v>
      </c>
      <c r="AE275" s="73">
        <f t="shared" si="135"/>
        <v>0</v>
      </c>
      <c r="AF275" s="73">
        <f t="shared" si="135"/>
        <v>0</v>
      </c>
      <c r="AG275" s="73">
        <f t="shared" si="135"/>
        <v>0</v>
      </c>
      <c r="AH275" s="73">
        <f t="shared" si="135"/>
        <v>0</v>
      </c>
      <c r="AI275" s="73">
        <f t="shared" si="135"/>
        <v>0</v>
      </c>
      <c r="AJ275" s="73">
        <f t="shared" si="135"/>
        <v>0</v>
      </c>
      <c r="AK275" s="73">
        <f t="shared" si="135"/>
        <v>0</v>
      </c>
      <c r="AL275" s="73">
        <f t="shared" si="135"/>
        <v>0</v>
      </c>
      <c r="AM275" s="73">
        <f t="shared" si="135"/>
        <v>0</v>
      </c>
      <c r="AN275" s="73">
        <f t="shared" si="135"/>
        <v>0</v>
      </c>
      <c r="AO275" s="73">
        <f t="shared" si="135"/>
        <v>0</v>
      </c>
      <c r="AP275" s="73">
        <f t="shared" si="135"/>
        <v>7.5</v>
      </c>
      <c r="AQ275" s="73">
        <f t="shared" si="135"/>
        <v>7.5</v>
      </c>
      <c r="AR275" s="73">
        <f t="shared" si="135"/>
        <v>7.5</v>
      </c>
      <c r="AS275" s="73">
        <f t="shared" si="135"/>
        <v>7.5</v>
      </c>
      <c r="AT275" s="73">
        <f t="shared" si="135"/>
        <v>7.5</v>
      </c>
      <c r="AU275" s="73">
        <f t="shared" si="135"/>
        <v>7.5</v>
      </c>
      <c r="AV275" s="73">
        <f t="shared" si="135"/>
        <v>50</v>
      </c>
      <c r="AW275" s="73">
        <f t="shared" si="135"/>
        <v>54</v>
      </c>
      <c r="AX275" s="73">
        <f t="shared" si="135"/>
        <v>0</v>
      </c>
      <c r="AY275" s="73">
        <f t="shared" si="135"/>
        <v>0</v>
      </c>
      <c r="AZ275" s="575">
        <f t="shared" si="135"/>
        <v>0</v>
      </c>
      <c r="BA275">
        <f t="shared" si="136"/>
        <v>149</v>
      </c>
    </row>
    <row r="276" spans="1:53" ht="15.75" thickBot="1">
      <c r="A276" s="73"/>
      <c r="B276" s="70"/>
      <c r="C276" s="73"/>
      <c r="D276" s="73" t="s">
        <v>794</v>
      </c>
      <c r="E276" s="73"/>
      <c r="F276" s="73"/>
      <c r="G276" s="566"/>
      <c r="H276" s="73">
        <f>H273+H274+H275</f>
        <v>0</v>
      </c>
      <c r="I276" s="73">
        <f>I273+I274+I275</f>
        <v>0</v>
      </c>
      <c r="J276" s="73">
        <f t="shared" ref="J276:S276" si="138">J273+J274+J275</f>
        <v>0</v>
      </c>
      <c r="K276" s="73">
        <f t="shared" si="138"/>
        <v>49.861285774170199</v>
      </c>
      <c r="L276" s="73">
        <f t="shared" si="138"/>
        <v>386.64306047787818</v>
      </c>
      <c r="M276" s="73">
        <f t="shared" si="138"/>
        <v>467.78625052398922</v>
      </c>
      <c r="N276" s="73">
        <f t="shared" si="138"/>
        <v>363.78625052398922</v>
      </c>
      <c r="O276" s="73">
        <f t="shared" si="138"/>
        <v>400.55500933653445</v>
      </c>
      <c r="P276" s="73">
        <f t="shared" si="138"/>
        <v>612.72502953393541</v>
      </c>
      <c r="Q276" s="73">
        <f t="shared" si="138"/>
        <v>301.45655653366867</v>
      </c>
      <c r="R276" s="73">
        <f t="shared" si="138"/>
        <v>0</v>
      </c>
      <c r="S276" s="73">
        <f t="shared" si="138"/>
        <v>0</v>
      </c>
      <c r="T276" s="77">
        <f>SUM(H276:S276)</f>
        <v>2582.8134427041655</v>
      </c>
      <c r="V276" s="72"/>
      <c r="W276" s="73" t="s">
        <v>794</v>
      </c>
      <c r="AC276" s="576">
        <f t="shared" si="135"/>
        <v>0</v>
      </c>
      <c r="AD276" s="577">
        <f t="shared" si="135"/>
        <v>0</v>
      </c>
      <c r="AE276" s="577">
        <f t="shared" si="135"/>
        <v>0</v>
      </c>
      <c r="AF276" s="577">
        <f t="shared" si="135"/>
        <v>0</v>
      </c>
      <c r="AG276" s="577">
        <f t="shared" si="135"/>
        <v>0</v>
      </c>
      <c r="AH276" s="577">
        <f t="shared" si="135"/>
        <v>0</v>
      </c>
      <c r="AI276" s="577">
        <f t="shared" si="135"/>
        <v>272.64548892953775</v>
      </c>
      <c r="AJ276" s="577">
        <f t="shared" si="135"/>
        <v>87.091203650775498</v>
      </c>
      <c r="AK276" s="577">
        <f t="shared" si="135"/>
        <v>0</v>
      </c>
      <c r="AL276" s="577">
        <f t="shared" si="135"/>
        <v>29.930642887085099</v>
      </c>
      <c r="AM276" s="577">
        <f t="shared" si="135"/>
        <v>19.930642887085099</v>
      </c>
      <c r="AN276" s="577">
        <f t="shared" si="135"/>
        <v>13.45318394878244</v>
      </c>
      <c r="AO276" s="577">
        <f t="shared" si="135"/>
        <v>13.45318394878244</v>
      </c>
      <c r="AP276" s="577">
        <f t="shared" si="135"/>
        <v>233.89312526199461</v>
      </c>
      <c r="AQ276" s="577">
        <f t="shared" si="135"/>
        <v>233.89312526199461</v>
      </c>
      <c r="AR276" s="577">
        <f t="shared" si="135"/>
        <v>181.89312526199461</v>
      </c>
      <c r="AS276" s="577">
        <f t="shared" si="135"/>
        <v>181.89312526199461</v>
      </c>
      <c r="AT276" s="577">
        <f t="shared" si="135"/>
        <v>98.931824244502877</v>
      </c>
      <c r="AU276" s="577">
        <f t="shared" si="135"/>
        <v>273.22201897793531</v>
      </c>
      <c r="AV276" s="577">
        <f t="shared" si="135"/>
        <v>621.19555276094661</v>
      </c>
      <c r="AW276" s="577">
        <f t="shared" si="135"/>
        <v>321.38719942075375</v>
      </c>
      <c r="AX276" s="577">
        <f t="shared" si="135"/>
        <v>0</v>
      </c>
      <c r="AY276" s="577">
        <f t="shared" si="135"/>
        <v>0</v>
      </c>
      <c r="AZ276" s="578">
        <f t="shared" si="135"/>
        <v>0</v>
      </c>
      <c r="BA276" s="16">
        <f>SUM(AC276:AZ276)</f>
        <v>2582.813442704165</v>
      </c>
    </row>
    <row r="277" spans="1:53">
      <c r="A277" s="73"/>
      <c r="B277" s="70"/>
      <c r="C277" s="73"/>
      <c r="D277" s="73"/>
      <c r="E277" s="73"/>
      <c r="F277" s="73"/>
      <c r="G277" s="73"/>
      <c r="H277" s="73"/>
      <c r="I277" s="73"/>
      <c r="J277" s="73"/>
      <c r="K277" s="73"/>
      <c r="L277" s="73"/>
      <c r="M277" s="73"/>
      <c r="N277" s="73"/>
      <c r="O277" s="73"/>
      <c r="P277" s="73"/>
      <c r="Q277" s="73"/>
      <c r="R277" s="73"/>
      <c r="S277" s="73"/>
      <c r="T277" s="79">
        <f>SUM(T240:T270)*1.1</f>
        <v>2841.0947869745819</v>
      </c>
      <c r="AD277" s="557"/>
    </row>
    <row r="278" spans="1:53" ht="30.95" customHeight="1" thickBot="1">
      <c r="A278" s="73"/>
      <c r="B278" s="70"/>
      <c r="C278" s="73"/>
      <c r="D278" s="73"/>
      <c r="E278" s="73"/>
      <c r="F278" s="73"/>
      <c r="G278" s="73"/>
      <c r="H278" s="73"/>
      <c r="I278" s="73"/>
      <c r="J278" s="73"/>
      <c r="K278" s="73"/>
      <c r="L278" s="73"/>
      <c r="M278" s="73"/>
      <c r="N278" s="73"/>
      <c r="O278" s="73"/>
      <c r="P278" s="73"/>
      <c r="Q278" s="73"/>
      <c r="R278" s="73"/>
      <c r="S278" s="73"/>
      <c r="T278" s="79"/>
      <c r="W278" s="94" t="s">
        <v>1125</v>
      </c>
      <c r="X278" s="562" t="s">
        <v>1126</v>
      </c>
    </row>
    <row r="279" spans="1:53">
      <c r="A279" t="s">
        <v>1127</v>
      </c>
      <c r="C279" s="17"/>
      <c r="D279" t="s">
        <v>791</v>
      </c>
      <c r="J279">
        <v>1470</v>
      </c>
      <c r="K279">
        <v>1470</v>
      </c>
      <c r="L279">
        <v>1470</v>
      </c>
      <c r="M279">
        <v>1225</v>
      </c>
      <c r="U279" s="16">
        <v>620220</v>
      </c>
      <c r="V279" t="s">
        <v>1128</v>
      </c>
      <c r="W279" t="s">
        <v>791</v>
      </c>
      <c r="AC279" s="563"/>
      <c r="AD279" s="564"/>
      <c r="AE279" s="568">
        <f>J279/3</f>
        <v>490</v>
      </c>
      <c r="AF279" s="568">
        <f>J279/3</f>
        <v>490</v>
      </c>
      <c r="AG279" s="568">
        <f>J279/3</f>
        <v>490</v>
      </c>
      <c r="AH279" s="568">
        <f>K279/2</f>
        <v>735</v>
      </c>
      <c r="AI279" s="568">
        <f>K279/2</f>
        <v>735</v>
      </c>
      <c r="AJ279" s="568">
        <f>L279/2</f>
        <v>735</v>
      </c>
      <c r="AK279" s="568">
        <f>L279/2</f>
        <v>735</v>
      </c>
      <c r="AL279" s="568">
        <f>M279/2</f>
        <v>612.5</v>
      </c>
      <c r="AM279" s="568">
        <f>M279/2</f>
        <v>612.5</v>
      </c>
      <c r="AN279" s="564"/>
      <c r="AO279" s="564"/>
      <c r="AP279" s="564"/>
      <c r="AQ279" s="564"/>
      <c r="AR279" s="564"/>
      <c r="AS279" s="564"/>
      <c r="AT279" s="564"/>
      <c r="AU279" s="564"/>
      <c r="AV279" s="564"/>
      <c r="AW279" s="564"/>
      <c r="AX279" s="564"/>
      <c r="AY279" s="564"/>
      <c r="AZ279" s="274"/>
    </row>
    <row r="280" spans="1:53">
      <c r="A280" t="s">
        <v>1128</v>
      </c>
      <c r="D280" t="s">
        <v>792</v>
      </c>
      <c r="H280">
        <f>H279*N30*0.001</f>
        <v>0</v>
      </c>
      <c r="I280">
        <f>I279*N30*0.001</f>
        <v>0</v>
      </c>
      <c r="J280">
        <f>J279*N30*0.001</f>
        <v>146.49022522007547</v>
      </c>
      <c r="K280">
        <f>K279*N30*0.001</f>
        <v>146.49022522007547</v>
      </c>
      <c r="L280">
        <f>L279*N30*0.001</f>
        <v>146.49022522007547</v>
      </c>
      <c r="M280">
        <f>M279*N30*0.001</f>
        <v>122.07518768339622</v>
      </c>
      <c r="N280">
        <f>N279*N30*0.001</f>
        <v>0</v>
      </c>
      <c r="O280">
        <f>O279*N30*0.001</f>
        <v>0</v>
      </c>
      <c r="P280">
        <f>P279*N30*0.001</f>
        <v>0</v>
      </c>
      <c r="Q280">
        <f>Q279*N30*0.001</f>
        <v>0</v>
      </c>
      <c r="R280">
        <f>R279*N30*0.001</f>
        <v>0</v>
      </c>
      <c r="S280">
        <f>S279*N30*0.001</f>
        <v>0</v>
      </c>
      <c r="U280" s="16">
        <v>620220</v>
      </c>
      <c r="V280" t="s">
        <v>1128</v>
      </c>
      <c r="W280" t="s">
        <v>792</v>
      </c>
      <c r="Y280" t="s">
        <v>389</v>
      </c>
      <c r="Z280" t="str">
        <f>VLOOKUP(Y280,'Price Table 8 OHB'!A:B,2,FALSE)</f>
        <v>Ground Control Centre Development</v>
      </c>
      <c r="AC280" s="565">
        <f t="shared" ref="AC280:AZ280" si="139">AC279*$N$30*0.001</f>
        <v>0</v>
      </c>
      <c r="AD280">
        <f t="shared" si="139"/>
        <v>0</v>
      </c>
      <c r="AE280">
        <f t="shared" si="139"/>
        <v>48.830075073358486</v>
      </c>
      <c r="AF280">
        <f t="shared" si="139"/>
        <v>48.830075073358486</v>
      </c>
      <c r="AG280">
        <f t="shared" si="139"/>
        <v>48.830075073358486</v>
      </c>
      <c r="AH280">
        <f t="shared" si="139"/>
        <v>73.245112610037737</v>
      </c>
      <c r="AI280">
        <f t="shared" si="139"/>
        <v>73.245112610037737</v>
      </c>
      <c r="AJ280">
        <f t="shared" si="139"/>
        <v>73.245112610037737</v>
      </c>
      <c r="AK280">
        <f t="shared" si="139"/>
        <v>73.245112610037737</v>
      </c>
      <c r="AL280">
        <f t="shared" si="139"/>
        <v>61.037593841698111</v>
      </c>
      <c r="AM280">
        <f t="shared" si="139"/>
        <v>61.037593841698111</v>
      </c>
      <c r="AN280">
        <f t="shared" si="139"/>
        <v>0</v>
      </c>
      <c r="AO280">
        <f t="shared" si="139"/>
        <v>0</v>
      </c>
      <c r="AP280">
        <f t="shared" si="139"/>
        <v>0</v>
      </c>
      <c r="AQ280">
        <f t="shared" si="139"/>
        <v>0</v>
      </c>
      <c r="AR280">
        <f t="shared" si="139"/>
        <v>0</v>
      </c>
      <c r="AS280">
        <f t="shared" si="139"/>
        <v>0</v>
      </c>
      <c r="AT280">
        <f t="shared" si="139"/>
        <v>0</v>
      </c>
      <c r="AU280">
        <f t="shared" si="139"/>
        <v>0</v>
      </c>
      <c r="AV280">
        <f t="shared" si="139"/>
        <v>0</v>
      </c>
      <c r="AW280">
        <f t="shared" si="139"/>
        <v>0</v>
      </c>
      <c r="AX280">
        <f t="shared" si="139"/>
        <v>0</v>
      </c>
      <c r="AY280">
        <f t="shared" si="139"/>
        <v>0</v>
      </c>
      <c r="AZ280" s="275">
        <f t="shared" si="139"/>
        <v>0</v>
      </c>
    </row>
    <row r="281" spans="1:53">
      <c r="D281" t="s">
        <v>793</v>
      </c>
      <c r="U281" s="16">
        <v>620220</v>
      </c>
      <c r="V281" t="s">
        <v>1128</v>
      </c>
      <c r="W281" t="s">
        <v>793</v>
      </c>
      <c r="Y281" t="s">
        <v>389</v>
      </c>
      <c r="Z281" t="str">
        <f>VLOOKUP(Y281,'Price Table 8 OHB'!A:B,2,FALSE)</f>
        <v>Ground Control Centre Development</v>
      </c>
      <c r="AC281" s="565"/>
      <c r="AZ281" s="275"/>
    </row>
    <row r="282" spans="1:53">
      <c r="D282" t="s">
        <v>966</v>
      </c>
      <c r="U282" s="16">
        <v>620220</v>
      </c>
      <c r="V282" t="s">
        <v>1128</v>
      </c>
      <c r="W282" t="s">
        <v>966</v>
      </c>
      <c r="Y282" t="s">
        <v>389</v>
      </c>
      <c r="Z282" t="str">
        <f>VLOOKUP(Y282,'Price Table 8 OHB'!A:B,2,FALSE)</f>
        <v>Ground Control Centre Development</v>
      </c>
      <c r="AC282" s="565"/>
      <c r="AZ282" s="275"/>
    </row>
    <row r="283" spans="1:53" ht="15.75" thickBot="1">
      <c r="D283" t="s">
        <v>794</v>
      </c>
      <c r="G283" s="570"/>
      <c r="H283">
        <f>H280+H281+H282</f>
        <v>0</v>
      </c>
      <c r="I283">
        <f>I280+I281+I282</f>
        <v>0</v>
      </c>
      <c r="J283">
        <f t="shared" ref="J283:S283" si="140">J280+J281+J282</f>
        <v>146.49022522007547</v>
      </c>
      <c r="K283">
        <f t="shared" si="140"/>
        <v>146.49022522007547</v>
      </c>
      <c r="L283">
        <f t="shared" si="140"/>
        <v>146.49022522007547</v>
      </c>
      <c r="M283">
        <f t="shared" si="140"/>
        <v>122.07518768339622</v>
      </c>
      <c r="N283">
        <f t="shared" si="140"/>
        <v>0</v>
      </c>
      <c r="O283">
        <f t="shared" si="140"/>
        <v>0</v>
      </c>
      <c r="P283">
        <f t="shared" si="140"/>
        <v>0</v>
      </c>
      <c r="Q283">
        <f t="shared" si="140"/>
        <v>0</v>
      </c>
      <c r="R283">
        <f t="shared" si="140"/>
        <v>0</v>
      </c>
      <c r="S283">
        <f t="shared" si="140"/>
        <v>0</v>
      </c>
      <c r="T283">
        <f>SUM(H283:S283)</f>
        <v>561.54586334362261</v>
      </c>
      <c r="U283" s="16"/>
      <c r="W283" t="s">
        <v>794</v>
      </c>
      <c r="AC283" s="567">
        <f>SUM(AC280:AC282)</f>
        <v>0</v>
      </c>
      <c r="AD283" s="265">
        <f t="shared" ref="AD283:AZ283" si="141">SUM(AD280:AD282)</f>
        <v>0</v>
      </c>
      <c r="AE283" s="265">
        <f t="shared" si="141"/>
        <v>48.830075073358486</v>
      </c>
      <c r="AF283" s="265">
        <f t="shared" si="141"/>
        <v>48.830075073358486</v>
      </c>
      <c r="AG283" s="265">
        <f t="shared" si="141"/>
        <v>48.830075073358486</v>
      </c>
      <c r="AH283" s="265">
        <f t="shared" si="141"/>
        <v>73.245112610037737</v>
      </c>
      <c r="AI283" s="265">
        <f t="shared" si="141"/>
        <v>73.245112610037737</v>
      </c>
      <c r="AJ283" s="265">
        <f t="shared" si="141"/>
        <v>73.245112610037737</v>
      </c>
      <c r="AK283" s="265">
        <f t="shared" si="141"/>
        <v>73.245112610037737</v>
      </c>
      <c r="AL283" s="265">
        <f t="shared" si="141"/>
        <v>61.037593841698111</v>
      </c>
      <c r="AM283" s="265">
        <f t="shared" si="141"/>
        <v>61.037593841698111</v>
      </c>
      <c r="AN283" s="265">
        <f t="shared" si="141"/>
        <v>0</v>
      </c>
      <c r="AO283" s="265">
        <f t="shared" si="141"/>
        <v>0</v>
      </c>
      <c r="AP283" s="265">
        <f t="shared" si="141"/>
        <v>0</v>
      </c>
      <c r="AQ283" s="265">
        <f t="shared" si="141"/>
        <v>0</v>
      </c>
      <c r="AR283" s="265">
        <f t="shared" si="141"/>
        <v>0</v>
      </c>
      <c r="AS283" s="265">
        <f t="shared" si="141"/>
        <v>0</v>
      </c>
      <c r="AT283" s="265">
        <f t="shared" si="141"/>
        <v>0</v>
      </c>
      <c r="AU283" s="265">
        <f t="shared" si="141"/>
        <v>0</v>
      </c>
      <c r="AV283" s="265">
        <f t="shared" si="141"/>
        <v>0</v>
      </c>
      <c r="AW283" s="265">
        <f t="shared" si="141"/>
        <v>0</v>
      </c>
      <c r="AX283" s="265">
        <f t="shared" si="141"/>
        <v>0</v>
      </c>
      <c r="AY283" s="265">
        <f t="shared" si="141"/>
        <v>0</v>
      </c>
      <c r="AZ283" s="276">
        <f t="shared" si="141"/>
        <v>0</v>
      </c>
      <c r="BA283" s="16">
        <f>SUM(AC283:AZ283)</f>
        <v>561.54586334362261</v>
      </c>
    </row>
    <row r="284" spans="1:53" ht="48.95" customHeight="1" thickBot="1">
      <c r="A284" s="90"/>
      <c r="B284" s="91"/>
      <c r="C284" s="90"/>
      <c r="D284" s="90"/>
      <c r="E284" s="90"/>
      <c r="F284" s="90"/>
      <c r="G284" s="90"/>
      <c r="H284" s="90"/>
      <c r="I284" s="90">
        <f>H280+H281+H282</f>
        <v>0</v>
      </c>
      <c r="J284" s="90"/>
      <c r="K284" s="90"/>
      <c r="L284" s="90"/>
      <c r="M284" s="90"/>
      <c r="N284" s="90"/>
      <c r="O284" s="90"/>
      <c r="P284" s="90"/>
      <c r="Q284" s="90"/>
      <c r="R284" s="90"/>
      <c r="S284" s="90"/>
      <c r="W284" s="94" t="s">
        <v>1129</v>
      </c>
      <c r="X284" s="562" t="s">
        <v>1130</v>
      </c>
    </row>
    <row r="285" spans="1:53">
      <c r="A285" t="s">
        <v>1131</v>
      </c>
      <c r="C285" s="17"/>
      <c r="D285" t="s">
        <v>791</v>
      </c>
      <c r="K285">
        <v>1280</v>
      </c>
      <c r="U285" s="16">
        <v>620230</v>
      </c>
      <c r="V285" t="s">
        <v>1132</v>
      </c>
      <c r="W285" t="s">
        <v>791</v>
      </c>
      <c r="AC285" s="563"/>
      <c r="AD285" s="568">
        <f>K285/2</f>
        <v>640</v>
      </c>
      <c r="AE285" s="568">
        <f>K285/2</f>
        <v>640</v>
      </c>
      <c r="AF285" s="564"/>
      <c r="AG285" s="564"/>
      <c r="AH285" s="564"/>
      <c r="AI285" s="564"/>
      <c r="AJ285" s="564"/>
      <c r="AK285" s="564"/>
      <c r="AL285" s="564"/>
      <c r="AM285" s="564"/>
      <c r="AN285" s="564"/>
      <c r="AO285" s="564"/>
      <c r="AP285" s="564"/>
      <c r="AQ285" s="564"/>
      <c r="AR285" s="564"/>
      <c r="AS285" s="564"/>
      <c r="AT285" s="564"/>
      <c r="AU285" s="564"/>
      <c r="AV285" s="564"/>
      <c r="AW285" s="564"/>
      <c r="AX285" s="564"/>
      <c r="AY285" s="564"/>
      <c r="AZ285" s="274"/>
    </row>
    <row r="286" spans="1:53">
      <c r="A286" t="s">
        <v>1132</v>
      </c>
      <c r="D286" t="s">
        <v>792</v>
      </c>
      <c r="H286">
        <f>H285*N30*0.001</f>
        <v>0</v>
      </c>
      <c r="I286">
        <f>I285*N30*0.001</f>
        <v>0</v>
      </c>
      <c r="J286">
        <f>J285*N30*0.001</f>
        <v>0</v>
      </c>
      <c r="K286">
        <f>K285*N30*0.001</f>
        <v>127.55611447734462</v>
      </c>
      <c r="L286">
        <f>L285*N30*0.001</f>
        <v>0</v>
      </c>
      <c r="M286">
        <f>M285*N30*0.001</f>
        <v>0</v>
      </c>
      <c r="N286">
        <f>N285*N30*0.001</f>
        <v>0</v>
      </c>
      <c r="O286">
        <f>O285*N30*0.001</f>
        <v>0</v>
      </c>
      <c r="P286">
        <f>P285*N30*0.001</f>
        <v>0</v>
      </c>
      <c r="Q286">
        <f>Q285*N30*0.001</f>
        <v>0</v>
      </c>
      <c r="R286">
        <f>R285*N30*0.001</f>
        <v>0</v>
      </c>
      <c r="S286">
        <f>S285*N30*0.001</f>
        <v>0</v>
      </c>
      <c r="U286" s="16">
        <v>620230</v>
      </c>
      <c r="V286" t="s">
        <v>1132</v>
      </c>
      <c r="W286" t="s">
        <v>792</v>
      </c>
      <c r="Y286" t="s">
        <v>389</v>
      </c>
      <c r="Z286" t="str">
        <f>VLOOKUP(Y286,'Price Table 8 OHB'!A:B,2,FALSE)</f>
        <v>Ground Control Centre Development</v>
      </c>
      <c r="AC286" s="565">
        <f>AC285*$N$30*0.001</f>
        <v>0</v>
      </c>
      <c r="AD286">
        <f t="shared" ref="AD286:AZ286" si="142">AD285*$N$30*0.001</f>
        <v>63.778057238672311</v>
      </c>
      <c r="AE286">
        <f t="shared" si="142"/>
        <v>63.778057238672311</v>
      </c>
      <c r="AF286">
        <f t="shared" si="142"/>
        <v>0</v>
      </c>
      <c r="AG286">
        <f t="shared" si="142"/>
        <v>0</v>
      </c>
      <c r="AH286">
        <f t="shared" si="142"/>
        <v>0</v>
      </c>
      <c r="AI286">
        <f t="shared" si="142"/>
        <v>0</v>
      </c>
      <c r="AJ286">
        <f t="shared" si="142"/>
        <v>0</v>
      </c>
      <c r="AK286">
        <f t="shared" si="142"/>
        <v>0</v>
      </c>
      <c r="AL286">
        <f t="shared" si="142"/>
        <v>0</v>
      </c>
      <c r="AM286">
        <f t="shared" si="142"/>
        <v>0</v>
      </c>
      <c r="AN286">
        <f t="shared" si="142"/>
        <v>0</v>
      </c>
      <c r="AO286">
        <f t="shared" si="142"/>
        <v>0</v>
      </c>
      <c r="AP286">
        <f t="shared" si="142"/>
        <v>0</v>
      </c>
      <c r="AQ286">
        <f t="shared" si="142"/>
        <v>0</v>
      </c>
      <c r="AR286">
        <f t="shared" si="142"/>
        <v>0</v>
      </c>
      <c r="AS286">
        <f t="shared" si="142"/>
        <v>0</v>
      </c>
      <c r="AT286">
        <f t="shared" si="142"/>
        <v>0</v>
      </c>
      <c r="AU286">
        <f t="shared" si="142"/>
        <v>0</v>
      </c>
      <c r="AV286">
        <f t="shared" si="142"/>
        <v>0</v>
      </c>
      <c r="AW286">
        <f t="shared" si="142"/>
        <v>0</v>
      </c>
      <c r="AX286">
        <f t="shared" si="142"/>
        <v>0</v>
      </c>
      <c r="AY286">
        <f t="shared" si="142"/>
        <v>0</v>
      </c>
      <c r="AZ286" s="275">
        <f t="shared" si="142"/>
        <v>0</v>
      </c>
    </row>
    <row r="287" spans="1:53">
      <c r="A287" t="s">
        <v>1133</v>
      </c>
      <c r="D287" t="s">
        <v>793</v>
      </c>
      <c r="U287" s="16">
        <v>620230</v>
      </c>
      <c r="V287" t="s">
        <v>1132</v>
      </c>
      <c r="W287" t="s">
        <v>793</v>
      </c>
      <c r="Y287" t="s">
        <v>389</v>
      </c>
      <c r="Z287" t="str">
        <f>VLOOKUP(Y287,'Price Table 8 OHB'!A:B,2,FALSE)</f>
        <v>Ground Control Centre Development</v>
      </c>
      <c r="AC287" s="565"/>
      <c r="AZ287" s="275"/>
    </row>
    <row r="288" spans="1:53">
      <c r="D288" t="s">
        <v>966</v>
      </c>
      <c r="U288" s="16">
        <v>620230</v>
      </c>
      <c r="V288" t="s">
        <v>1132</v>
      </c>
      <c r="W288" t="s">
        <v>966</v>
      </c>
      <c r="Y288" t="s">
        <v>389</v>
      </c>
      <c r="Z288" t="str">
        <f>VLOOKUP(Y288,'Price Table 8 OHB'!A:B,2,FALSE)</f>
        <v>Ground Control Centre Development</v>
      </c>
      <c r="AC288" s="565"/>
      <c r="AZ288" s="275"/>
    </row>
    <row r="289" spans="1:53" ht="15.75" thickBot="1">
      <c r="D289" t="s">
        <v>794</v>
      </c>
      <c r="G289" s="570"/>
      <c r="H289">
        <f>H286+H287+H288</f>
        <v>0</v>
      </c>
      <c r="I289">
        <f>I286+I287+I288</f>
        <v>0</v>
      </c>
      <c r="J289">
        <f t="shared" ref="J289:S289" si="143">J286+J287+J288</f>
        <v>0</v>
      </c>
      <c r="K289">
        <f t="shared" si="143"/>
        <v>127.55611447734462</v>
      </c>
      <c r="L289">
        <f t="shared" si="143"/>
        <v>0</v>
      </c>
      <c r="M289">
        <f t="shared" si="143"/>
        <v>0</v>
      </c>
      <c r="N289">
        <f t="shared" si="143"/>
        <v>0</v>
      </c>
      <c r="O289">
        <f t="shared" si="143"/>
        <v>0</v>
      </c>
      <c r="P289">
        <f t="shared" si="143"/>
        <v>0</v>
      </c>
      <c r="Q289">
        <f t="shared" si="143"/>
        <v>0</v>
      </c>
      <c r="R289">
        <f t="shared" si="143"/>
        <v>0</v>
      </c>
      <c r="S289">
        <f t="shared" si="143"/>
        <v>0</v>
      </c>
      <c r="T289">
        <f>SUM(H289:S289)</f>
        <v>127.55611447734462</v>
      </c>
      <c r="U289" s="16"/>
      <c r="W289" t="s">
        <v>794</v>
      </c>
      <c r="AC289" s="567">
        <f>SUM(AC286:AC288)</f>
        <v>0</v>
      </c>
      <c r="AD289" s="265">
        <f t="shared" ref="AD289:AZ289" si="144">SUM(AD286:AD288)</f>
        <v>63.778057238672311</v>
      </c>
      <c r="AE289" s="265">
        <f t="shared" si="144"/>
        <v>63.778057238672311</v>
      </c>
      <c r="AF289" s="265">
        <f t="shared" si="144"/>
        <v>0</v>
      </c>
      <c r="AG289" s="265">
        <f t="shared" si="144"/>
        <v>0</v>
      </c>
      <c r="AH289" s="265">
        <f t="shared" si="144"/>
        <v>0</v>
      </c>
      <c r="AI289" s="265">
        <f t="shared" si="144"/>
        <v>0</v>
      </c>
      <c r="AJ289" s="265">
        <f t="shared" si="144"/>
        <v>0</v>
      </c>
      <c r="AK289" s="265">
        <f t="shared" si="144"/>
        <v>0</v>
      </c>
      <c r="AL289" s="265">
        <f t="shared" si="144"/>
        <v>0</v>
      </c>
      <c r="AM289" s="265">
        <f t="shared" si="144"/>
        <v>0</v>
      </c>
      <c r="AN289" s="265">
        <f t="shared" si="144"/>
        <v>0</v>
      </c>
      <c r="AO289" s="265">
        <f t="shared" si="144"/>
        <v>0</v>
      </c>
      <c r="AP289" s="265">
        <f t="shared" si="144"/>
        <v>0</v>
      </c>
      <c r="AQ289" s="265">
        <f t="shared" si="144"/>
        <v>0</v>
      </c>
      <c r="AR289" s="265">
        <f t="shared" si="144"/>
        <v>0</v>
      </c>
      <c r="AS289" s="265">
        <f t="shared" si="144"/>
        <v>0</v>
      </c>
      <c r="AT289" s="265">
        <f t="shared" si="144"/>
        <v>0</v>
      </c>
      <c r="AU289" s="265">
        <f t="shared" si="144"/>
        <v>0</v>
      </c>
      <c r="AV289" s="265">
        <f t="shared" si="144"/>
        <v>0</v>
      </c>
      <c r="AW289" s="265">
        <f t="shared" si="144"/>
        <v>0</v>
      </c>
      <c r="AX289" s="265">
        <f t="shared" si="144"/>
        <v>0</v>
      </c>
      <c r="AY289" s="265">
        <f t="shared" si="144"/>
        <v>0</v>
      </c>
      <c r="AZ289" s="276">
        <f t="shared" si="144"/>
        <v>0</v>
      </c>
      <c r="BA289" s="16">
        <f>SUM(AC289:AZ289)</f>
        <v>127.55611447734462</v>
      </c>
    </row>
    <row r="290" spans="1:53" ht="33" customHeight="1" thickBot="1">
      <c r="A290" s="90"/>
      <c r="B290" s="91"/>
      <c r="C290" s="90"/>
      <c r="D290" s="90"/>
      <c r="E290" s="90"/>
      <c r="F290" s="90"/>
      <c r="G290" s="90"/>
      <c r="H290" s="90"/>
      <c r="I290" s="90"/>
      <c r="J290" s="90"/>
      <c r="K290" s="90"/>
      <c r="L290" s="90"/>
      <c r="M290" s="90"/>
      <c r="N290" s="90"/>
      <c r="O290" s="90"/>
      <c r="P290" s="90"/>
      <c r="Q290" s="90"/>
      <c r="R290" s="90"/>
      <c r="S290" s="90"/>
      <c r="W290" s="94" t="s">
        <v>1134</v>
      </c>
      <c r="X290" s="562" t="s">
        <v>1135</v>
      </c>
    </row>
    <row r="291" spans="1:53">
      <c r="A291" t="s">
        <v>1136</v>
      </c>
      <c r="C291" s="17"/>
      <c r="D291" t="s">
        <v>791</v>
      </c>
      <c r="M291">
        <v>720</v>
      </c>
      <c r="U291" s="16">
        <v>620334</v>
      </c>
      <c r="V291" t="s">
        <v>1137</v>
      </c>
      <c r="W291" t="s">
        <v>791</v>
      </c>
      <c r="AC291" s="563"/>
      <c r="AD291" s="564"/>
      <c r="AE291" s="564"/>
      <c r="AF291" s="564"/>
      <c r="AG291" s="564"/>
      <c r="AH291" s="564"/>
      <c r="AI291" s="564"/>
      <c r="AJ291" s="568">
        <f>M291/2</f>
        <v>360</v>
      </c>
      <c r="AK291" s="568">
        <f>M291/2</f>
        <v>360</v>
      </c>
      <c r="AL291" s="564"/>
      <c r="AM291" s="564"/>
      <c r="AN291" s="564"/>
      <c r="AO291" s="564"/>
      <c r="AP291" s="564"/>
      <c r="AQ291" s="564"/>
      <c r="AR291" s="564"/>
      <c r="AS291" s="564"/>
      <c r="AT291" s="564"/>
      <c r="AU291" s="564"/>
      <c r="AV291" s="564"/>
      <c r="AW291" s="564"/>
      <c r="AX291" s="564"/>
      <c r="AY291" s="564"/>
      <c r="AZ291" s="274"/>
    </row>
    <row r="292" spans="1:53">
      <c r="A292" t="s">
        <v>1137</v>
      </c>
      <c r="D292" t="s">
        <v>792</v>
      </c>
      <c r="H292">
        <f>H291*N30*0.001</f>
        <v>0</v>
      </c>
      <c r="I292">
        <f>I291*N30*0.001</f>
        <v>0</v>
      </c>
      <c r="J292">
        <f>J291*N30*0.001</f>
        <v>0</v>
      </c>
      <c r="K292">
        <f>K291*N30*0.001</f>
        <v>0</v>
      </c>
      <c r="L292">
        <v>0</v>
      </c>
      <c r="M292">
        <f>M291*N30*0.001</f>
        <v>71.750314393506343</v>
      </c>
      <c r="N292">
        <f>N291*N30*0.001</f>
        <v>0</v>
      </c>
      <c r="O292">
        <f>O291*N30*0.001</f>
        <v>0</v>
      </c>
      <c r="P292">
        <f>P291*N30*0.001</f>
        <v>0</v>
      </c>
      <c r="Q292">
        <f>Q291*N30*0.001</f>
        <v>0</v>
      </c>
      <c r="R292">
        <f>R291*N30*0.001</f>
        <v>0</v>
      </c>
      <c r="S292">
        <f>S291*N30*0.001</f>
        <v>0</v>
      </c>
      <c r="U292" s="16">
        <v>620334</v>
      </c>
      <c r="V292" t="s">
        <v>1137</v>
      </c>
      <c r="W292" t="s">
        <v>792</v>
      </c>
      <c r="Y292" t="s">
        <v>389</v>
      </c>
      <c r="Z292" t="str">
        <f>VLOOKUP(Y292,'Price Table 8 OHB'!A:B,2,FALSE)</f>
        <v>Ground Control Centre Development</v>
      </c>
      <c r="AC292" s="565">
        <f>AC291*$N$30*0.001</f>
        <v>0</v>
      </c>
      <c r="AD292">
        <f t="shared" ref="AD292" si="145">AD291*$N$30*0.001</f>
        <v>0</v>
      </c>
      <c r="AE292">
        <f>AE291*$N$30*0.001</f>
        <v>0</v>
      </c>
      <c r="AF292">
        <f t="shared" ref="AF292:AI292" si="146">AF291*$N$30*0.001</f>
        <v>0</v>
      </c>
      <c r="AG292">
        <f t="shared" si="146"/>
        <v>0</v>
      </c>
      <c r="AH292">
        <f t="shared" si="146"/>
        <v>0</v>
      </c>
      <c r="AI292">
        <f t="shared" si="146"/>
        <v>0</v>
      </c>
      <c r="AJ292">
        <f>AJ291*$N$30*0.001</f>
        <v>35.875157196753172</v>
      </c>
      <c r="AK292">
        <f>AK291*$N$30*0.001</f>
        <v>35.875157196753172</v>
      </c>
      <c r="AL292">
        <f t="shared" ref="AL292:AZ292" si="147">AL291*$N$30*0.001</f>
        <v>0</v>
      </c>
      <c r="AM292">
        <f t="shared" si="147"/>
        <v>0</v>
      </c>
      <c r="AN292">
        <f t="shared" si="147"/>
        <v>0</v>
      </c>
      <c r="AO292">
        <f t="shared" si="147"/>
        <v>0</v>
      </c>
      <c r="AP292">
        <f t="shared" si="147"/>
        <v>0</v>
      </c>
      <c r="AQ292">
        <f t="shared" si="147"/>
        <v>0</v>
      </c>
      <c r="AR292">
        <f t="shared" si="147"/>
        <v>0</v>
      </c>
      <c r="AS292">
        <f t="shared" si="147"/>
        <v>0</v>
      </c>
      <c r="AT292">
        <f t="shared" si="147"/>
        <v>0</v>
      </c>
      <c r="AU292">
        <f t="shared" si="147"/>
        <v>0</v>
      </c>
      <c r="AV292">
        <f t="shared" si="147"/>
        <v>0</v>
      </c>
      <c r="AW292">
        <f t="shared" si="147"/>
        <v>0</v>
      </c>
      <c r="AX292">
        <f t="shared" si="147"/>
        <v>0</v>
      </c>
      <c r="AY292">
        <f t="shared" si="147"/>
        <v>0</v>
      </c>
      <c r="AZ292" s="275">
        <f t="shared" si="147"/>
        <v>0</v>
      </c>
    </row>
    <row r="293" spans="1:53">
      <c r="A293" t="s">
        <v>1138</v>
      </c>
      <c r="D293" t="s">
        <v>793</v>
      </c>
      <c r="U293" s="16">
        <v>620334</v>
      </c>
      <c r="V293" t="s">
        <v>1137</v>
      </c>
      <c r="W293" t="s">
        <v>793</v>
      </c>
      <c r="Y293" t="s">
        <v>389</v>
      </c>
      <c r="Z293" t="str">
        <f>VLOOKUP(Y293,'Price Table 8 OHB'!A:B,2,FALSE)</f>
        <v>Ground Control Centre Development</v>
      </c>
      <c r="AC293" s="565"/>
      <c r="AZ293" s="275"/>
    </row>
    <row r="294" spans="1:53">
      <c r="A294" t="s">
        <v>1139</v>
      </c>
      <c r="D294" t="s">
        <v>966</v>
      </c>
      <c r="U294" s="16">
        <v>620334</v>
      </c>
      <c r="V294" t="s">
        <v>1137</v>
      </c>
      <c r="W294" t="s">
        <v>966</v>
      </c>
      <c r="Y294" t="s">
        <v>389</v>
      </c>
      <c r="Z294" t="str">
        <f>VLOOKUP(Y294,'Price Table 8 OHB'!A:B,2,FALSE)</f>
        <v>Ground Control Centre Development</v>
      </c>
      <c r="AC294" s="565"/>
      <c r="AZ294" s="275"/>
    </row>
    <row r="295" spans="1:53" ht="15.75" thickBot="1">
      <c r="D295" t="s">
        <v>794</v>
      </c>
      <c r="G295" s="570"/>
      <c r="H295">
        <f>H292+H293+H294</f>
        <v>0</v>
      </c>
      <c r="I295">
        <f>I292+I293+I294</f>
        <v>0</v>
      </c>
      <c r="J295">
        <f t="shared" ref="J295:S295" si="148">J292+J293+J294</f>
        <v>0</v>
      </c>
      <c r="K295">
        <f t="shared" si="148"/>
        <v>0</v>
      </c>
      <c r="L295">
        <f>L292+L293+L294</f>
        <v>0</v>
      </c>
      <c r="M295">
        <f t="shared" si="148"/>
        <v>71.750314393506343</v>
      </c>
      <c r="N295">
        <f t="shared" si="148"/>
        <v>0</v>
      </c>
      <c r="O295">
        <f t="shared" si="148"/>
        <v>0</v>
      </c>
      <c r="P295">
        <f t="shared" si="148"/>
        <v>0</v>
      </c>
      <c r="Q295">
        <f t="shared" si="148"/>
        <v>0</v>
      </c>
      <c r="R295">
        <f t="shared" si="148"/>
        <v>0</v>
      </c>
      <c r="S295">
        <f t="shared" si="148"/>
        <v>0</v>
      </c>
      <c r="T295">
        <f>SUM(H295:S295)</f>
        <v>71.750314393506343</v>
      </c>
      <c r="U295" s="16"/>
      <c r="W295" t="s">
        <v>794</v>
      </c>
      <c r="AC295" s="567">
        <f>SUM(AC292:AC294)</f>
        <v>0</v>
      </c>
      <c r="AD295" s="265">
        <f t="shared" ref="AD295:AZ295" si="149">SUM(AD292:AD294)</f>
        <v>0</v>
      </c>
      <c r="AE295" s="265">
        <f t="shared" si="149"/>
        <v>0</v>
      </c>
      <c r="AF295" s="265">
        <f t="shared" si="149"/>
        <v>0</v>
      </c>
      <c r="AG295" s="265">
        <f t="shared" si="149"/>
        <v>0</v>
      </c>
      <c r="AH295" s="265">
        <f t="shared" si="149"/>
        <v>0</v>
      </c>
      <c r="AI295" s="265">
        <f t="shared" si="149"/>
        <v>0</v>
      </c>
      <c r="AJ295" s="265">
        <f t="shared" si="149"/>
        <v>35.875157196753172</v>
      </c>
      <c r="AK295" s="265">
        <f t="shared" si="149"/>
        <v>35.875157196753172</v>
      </c>
      <c r="AL295" s="265">
        <f t="shared" si="149"/>
        <v>0</v>
      </c>
      <c r="AM295" s="265">
        <f t="shared" si="149"/>
        <v>0</v>
      </c>
      <c r="AN295" s="265">
        <f t="shared" si="149"/>
        <v>0</v>
      </c>
      <c r="AO295" s="265">
        <f t="shared" si="149"/>
        <v>0</v>
      </c>
      <c r="AP295" s="265">
        <f t="shared" si="149"/>
        <v>0</v>
      </c>
      <c r="AQ295" s="265">
        <f t="shared" si="149"/>
        <v>0</v>
      </c>
      <c r="AR295" s="265">
        <f t="shared" si="149"/>
        <v>0</v>
      </c>
      <c r="AS295" s="265">
        <f t="shared" si="149"/>
        <v>0</v>
      </c>
      <c r="AT295" s="265">
        <f t="shared" si="149"/>
        <v>0</v>
      </c>
      <c r="AU295" s="265">
        <f t="shared" si="149"/>
        <v>0</v>
      </c>
      <c r="AV295" s="265">
        <f t="shared" si="149"/>
        <v>0</v>
      </c>
      <c r="AW295" s="265">
        <f t="shared" si="149"/>
        <v>0</v>
      </c>
      <c r="AX295" s="265">
        <f t="shared" si="149"/>
        <v>0</v>
      </c>
      <c r="AY295" s="265">
        <f t="shared" si="149"/>
        <v>0</v>
      </c>
      <c r="AZ295" s="276">
        <f t="shared" si="149"/>
        <v>0</v>
      </c>
      <c r="BA295" s="16">
        <f>SUM(AC295:AZ295)</f>
        <v>71.750314393506343</v>
      </c>
    </row>
    <row r="296" spans="1:53" ht="17.100000000000001" customHeight="1" thickBot="1">
      <c r="A296" s="90"/>
      <c r="B296" s="91"/>
      <c r="C296" s="90"/>
      <c r="D296" s="90"/>
      <c r="E296" s="90"/>
      <c r="F296" s="90"/>
      <c r="G296" s="90"/>
      <c r="H296" s="90"/>
      <c r="I296" s="90"/>
      <c r="J296" s="90"/>
      <c r="K296" s="90"/>
      <c r="L296" s="90"/>
      <c r="M296" s="90"/>
      <c r="N296" s="90"/>
      <c r="O296" s="90"/>
      <c r="P296" s="90"/>
      <c r="Q296" s="90"/>
      <c r="R296" s="90"/>
      <c r="S296" s="90"/>
      <c r="W296" s="94" t="s">
        <v>1140</v>
      </c>
      <c r="X296" s="562" t="s">
        <v>1141</v>
      </c>
    </row>
    <row r="297" spans="1:53">
      <c r="A297" t="s">
        <v>1142</v>
      </c>
      <c r="C297" s="17"/>
      <c r="D297" t="s">
        <v>791</v>
      </c>
      <c r="N297">
        <v>440</v>
      </c>
      <c r="U297" s="16">
        <v>620520</v>
      </c>
      <c r="V297" t="s">
        <v>1143</v>
      </c>
      <c r="W297" t="s">
        <v>791</v>
      </c>
      <c r="AC297" s="563"/>
      <c r="AD297" s="564"/>
      <c r="AE297" s="564"/>
      <c r="AF297" s="564"/>
      <c r="AG297" s="564"/>
      <c r="AH297" s="564"/>
      <c r="AI297" s="564"/>
      <c r="AJ297" s="564"/>
      <c r="AK297" s="564"/>
      <c r="AL297" s="564"/>
      <c r="AM297" s="564"/>
      <c r="AN297" s="564"/>
      <c r="AO297" s="564"/>
      <c r="AP297" s="564"/>
      <c r="AQ297" s="564"/>
      <c r="AR297" s="564"/>
      <c r="AS297" s="564"/>
      <c r="AT297" s="564"/>
      <c r="AU297" s="564"/>
      <c r="AV297" s="568">
        <f>N297/2</f>
        <v>220</v>
      </c>
      <c r="AW297" s="568">
        <f>N297/2</f>
        <v>220</v>
      </c>
      <c r="AX297" s="564"/>
      <c r="AY297" s="564"/>
      <c r="AZ297" s="274"/>
    </row>
    <row r="298" spans="1:53">
      <c r="A298" t="s">
        <v>1143</v>
      </c>
      <c r="D298" t="s">
        <v>792</v>
      </c>
      <c r="H298">
        <f>H297*N30*0.001</f>
        <v>0</v>
      </c>
      <c r="I298">
        <f>I297*N30*0.001</f>
        <v>0</v>
      </c>
      <c r="J298">
        <f>J297*N30*0.001</f>
        <v>0</v>
      </c>
      <c r="K298">
        <f>K297*N30*0.001</f>
        <v>0</v>
      </c>
      <c r="L298">
        <f>L297*N30*0.001</f>
        <v>0</v>
      </c>
      <c r="M298">
        <f>M297*N30*0.001</f>
        <v>0</v>
      </c>
      <c r="N298">
        <f>N297*N30*0.001</f>
        <v>43.847414351587211</v>
      </c>
      <c r="O298">
        <f>O297*N30*0.001</f>
        <v>0</v>
      </c>
      <c r="P298">
        <f>P297*N30*0.001</f>
        <v>0</v>
      </c>
      <c r="Q298">
        <f>Q297*N30*0.001</f>
        <v>0</v>
      </c>
      <c r="R298">
        <f>R297*N30*0.001</f>
        <v>0</v>
      </c>
      <c r="S298">
        <f>S297*N30*0.001</f>
        <v>0</v>
      </c>
      <c r="U298" s="16">
        <v>620520</v>
      </c>
      <c r="V298" t="s">
        <v>1143</v>
      </c>
      <c r="W298" t="s">
        <v>792</v>
      </c>
      <c r="Y298" t="s">
        <v>389</v>
      </c>
      <c r="Z298" t="str">
        <f>VLOOKUP(Y298,'Price Table 8 OHB'!A:B,2,FALSE)</f>
        <v>Ground Control Centre Development</v>
      </c>
      <c r="AC298" s="565">
        <f>AC297*$N$30*0.001</f>
        <v>0</v>
      </c>
      <c r="AD298">
        <f t="shared" ref="AD298" si="150">AD297*$N$30*0.001</f>
        <v>0</v>
      </c>
      <c r="AE298">
        <f>AE297*$N$30*0.001</f>
        <v>0</v>
      </c>
      <c r="AF298">
        <f t="shared" ref="AF298:AZ298" si="151">AF297*$N$30*0.001</f>
        <v>0</v>
      </c>
      <c r="AG298">
        <f t="shared" si="151"/>
        <v>0</v>
      </c>
      <c r="AH298">
        <f t="shared" si="151"/>
        <v>0</v>
      </c>
      <c r="AI298">
        <f t="shared" si="151"/>
        <v>0</v>
      </c>
      <c r="AJ298">
        <f t="shared" si="151"/>
        <v>0</v>
      </c>
      <c r="AK298">
        <f t="shared" si="151"/>
        <v>0</v>
      </c>
      <c r="AL298">
        <f t="shared" si="151"/>
        <v>0</v>
      </c>
      <c r="AM298">
        <f t="shared" si="151"/>
        <v>0</v>
      </c>
      <c r="AN298">
        <f t="shared" si="151"/>
        <v>0</v>
      </c>
      <c r="AO298">
        <f t="shared" si="151"/>
        <v>0</v>
      </c>
      <c r="AP298">
        <f t="shared" si="151"/>
        <v>0</v>
      </c>
      <c r="AQ298">
        <f t="shared" si="151"/>
        <v>0</v>
      </c>
      <c r="AR298">
        <f t="shared" si="151"/>
        <v>0</v>
      </c>
      <c r="AS298">
        <f t="shared" si="151"/>
        <v>0</v>
      </c>
      <c r="AT298">
        <f t="shared" si="151"/>
        <v>0</v>
      </c>
      <c r="AU298">
        <f t="shared" si="151"/>
        <v>0</v>
      </c>
      <c r="AV298">
        <f t="shared" si="151"/>
        <v>21.923707175793606</v>
      </c>
      <c r="AW298">
        <f t="shared" si="151"/>
        <v>21.923707175793606</v>
      </c>
      <c r="AX298">
        <f t="shared" si="151"/>
        <v>0</v>
      </c>
      <c r="AY298">
        <f t="shared" si="151"/>
        <v>0</v>
      </c>
      <c r="AZ298" s="275">
        <f t="shared" si="151"/>
        <v>0</v>
      </c>
    </row>
    <row r="299" spans="1:53">
      <c r="D299" t="s">
        <v>793</v>
      </c>
      <c r="N299">
        <v>20</v>
      </c>
      <c r="U299" s="16">
        <v>620520</v>
      </c>
      <c r="V299" t="s">
        <v>1143</v>
      </c>
      <c r="W299" t="s">
        <v>793</v>
      </c>
      <c r="Y299" t="s">
        <v>389</v>
      </c>
      <c r="Z299" t="str">
        <f>VLOOKUP(Y299,'Price Table 8 OHB'!A:B,2,FALSE)</f>
        <v>Ground Control Centre Development</v>
      </c>
      <c r="AC299" s="565"/>
      <c r="AV299">
        <f>N299/2</f>
        <v>10</v>
      </c>
      <c r="AW299">
        <f>N299/2</f>
        <v>10</v>
      </c>
      <c r="AZ299" s="275"/>
    </row>
    <row r="300" spans="1:53">
      <c r="D300" t="s">
        <v>966</v>
      </c>
      <c r="U300" s="16">
        <v>620520</v>
      </c>
      <c r="V300" t="s">
        <v>1143</v>
      </c>
      <c r="W300" t="s">
        <v>966</v>
      </c>
      <c r="Y300" t="s">
        <v>389</v>
      </c>
      <c r="Z300" t="str">
        <f>VLOOKUP(Y300,'Price Table 8 OHB'!A:B,2,FALSE)</f>
        <v>Ground Control Centre Development</v>
      </c>
      <c r="AC300" s="565"/>
      <c r="AZ300" s="275"/>
    </row>
    <row r="301" spans="1:53" ht="15.75" thickBot="1">
      <c r="D301" t="s">
        <v>794</v>
      </c>
      <c r="G301" s="570"/>
      <c r="H301">
        <f>H298+H299+H300</f>
        <v>0</v>
      </c>
      <c r="I301">
        <f>I298+I299+I300</f>
        <v>0</v>
      </c>
      <c r="J301">
        <f t="shared" ref="J301:S301" si="152">J298+J299+J300</f>
        <v>0</v>
      </c>
      <c r="K301">
        <f t="shared" si="152"/>
        <v>0</v>
      </c>
      <c r="L301">
        <f t="shared" si="152"/>
        <v>0</v>
      </c>
      <c r="M301">
        <f t="shared" si="152"/>
        <v>0</v>
      </c>
      <c r="N301">
        <f t="shared" si="152"/>
        <v>63.847414351587211</v>
      </c>
      <c r="O301">
        <f t="shared" si="152"/>
        <v>0</v>
      </c>
      <c r="P301">
        <f t="shared" si="152"/>
        <v>0</v>
      </c>
      <c r="Q301">
        <f t="shared" si="152"/>
        <v>0</v>
      </c>
      <c r="R301">
        <f t="shared" si="152"/>
        <v>0</v>
      </c>
      <c r="S301">
        <f t="shared" si="152"/>
        <v>0</v>
      </c>
      <c r="T301">
        <f>SUM(H301:S301)</f>
        <v>63.847414351587211</v>
      </c>
      <c r="U301" s="16"/>
      <c r="W301" t="s">
        <v>794</v>
      </c>
      <c r="AC301" s="567">
        <f>SUM(AC298:AC300)</f>
        <v>0</v>
      </c>
      <c r="AD301" s="265">
        <f t="shared" ref="AD301:AZ301" si="153">SUM(AD298:AD300)</f>
        <v>0</v>
      </c>
      <c r="AE301" s="265">
        <f t="shared" si="153"/>
        <v>0</v>
      </c>
      <c r="AF301" s="265">
        <f t="shared" si="153"/>
        <v>0</v>
      </c>
      <c r="AG301" s="265">
        <f t="shared" si="153"/>
        <v>0</v>
      </c>
      <c r="AH301" s="265">
        <f t="shared" si="153"/>
        <v>0</v>
      </c>
      <c r="AI301" s="265">
        <f t="shared" si="153"/>
        <v>0</v>
      </c>
      <c r="AJ301" s="265">
        <f t="shared" si="153"/>
        <v>0</v>
      </c>
      <c r="AK301" s="265">
        <f t="shared" si="153"/>
        <v>0</v>
      </c>
      <c r="AL301" s="265">
        <f t="shared" si="153"/>
        <v>0</v>
      </c>
      <c r="AM301" s="265">
        <f t="shared" si="153"/>
        <v>0</v>
      </c>
      <c r="AN301" s="265">
        <f t="shared" si="153"/>
        <v>0</v>
      </c>
      <c r="AO301" s="265">
        <f t="shared" si="153"/>
        <v>0</v>
      </c>
      <c r="AP301" s="265">
        <f t="shared" si="153"/>
        <v>0</v>
      </c>
      <c r="AQ301" s="265">
        <f t="shared" si="153"/>
        <v>0</v>
      </c>
      <c r="AR301" s="265">
        <f t="shared" si="153"/>
        <v>0</v>
      </c>
      <c r="AS301" s="265">
        <f t="shared" si="153"/>
        <v>0</v>
      </c>
      <c r="AT301" s="265">
        <f t="shared" si="153"/>
        <v>0</v>
      </c>
      <c r="AU301" s="265">
        <f t="shared" si="153"/>
        <v>0</v>
      </c>
      <c r="AV301" s="265">
        <f t="shared" si="153"/>
        <v>31.923707175793606</v>
      </c>
      <c r="AW301" s="265">
        <f t="shared" si="153"/>
        <v>31.923707175793606</v>
      </c>
      <c r="AX301" s="265">
        <f t="shared" si="153"/>
        <v>0</v>
      </c>
      <c r="AY301" s="265">
        <f t="shared" si="153"/>
        <v>0</v>
      </c>
      <c r="AZ301" s="276">
        <f t="shared" si="153"/>
        <v>0</v>
      </c>
      <c r="BA301" s="16">
        <f>SUM(AC301:AZ301)</f>
        <v>63.847414351587211</v>
      </c>
    </row>
    <row r="302" spans="1:53" ht="48.95" customHeight="1" thickBot="1">
      <c r="A302" s="90"/>
      <c r="B302" s="91"/>
      <c r="C302" s="90"/>
      <c r="D302" s="90"/>
      <c r="E302" s="90"/>
      <c r="F302" s="90"/>
      <c r="G302" s="90"/>
      <c r="H302" s="90"/>
      <c r="I302" s="90"/>
      <c r="J302" s="90"/>
      <c r="K302" s="90"/>
      <c r="L302" s="90"/>
      <c r="M302" s="90"/>
      <c r="N302" s="90"/>
      <c r="O302" s="90"/>
      <c r="P302" s="90"/>
      <c r="Q302" s="90"/>
      <c r="R302" s="90"/>
      <c r="S302" s="90"/>
      <c r="W302" s="94" t="s">
        <v>1144</v>
      </c>
      <c r="X302" s="562" t="s">
        <v>1145</v>
      </c>
    </row>
    <row r="303" spans="1:53">
      <c r="A303" t="s">
        <v>1146</v>
      </c>
      <c r="C303" s="17"/>
      <c r="D303" t="s">
        <v>791</v>
      </c>
      <c r="N303">
        <v>80</v>
      </c>
      <c r="U303" s="16">
        <v>630300</v>
      </c>
      <c r="V303" t="s">
        <v>442</v>
      </c>
      <c r="W303" t="s">
        <v>791</v>
      </c>
      <c r="AC303" s="563"/>
      <c r="AD303" s="564"/>
      <c r="AE303" s="564"/>
      <c r="AF303" s="564"/>
      <c r="AG303" s="568">
        <v>40</v>
      </c>
      <c r="AH303" s="564"/>
      <c r="AI303" s="564"/>
      <c r="AJ303" s="564"/>
      <c r="AK303" s="564"/>
      <c r="AL303" s="568">
        <v>40</v>
      </c>
      <c r="AM303" s="564"/>
      <c r="AN303" s="564"/>
      <c r="AO303" s="564"/>
      <c r="AP303" s="564"/>
      <c r="AQ303" s="564"/>
      <c r="AR303" s="564"/>
      <c r="AS303" s="564"/>
      <c r="AT303" s="564"/>
      <c r="AU303" s="564"/>
      <c r="AV303" s="564"/>
      <c r="AW303" s="564"/>
      <c r="AX303" s="564"/>
      <c r="AY303" s="564"/>
      <c r="AZ303" s="274"/>
    </row>
    <row r="304" spans="1:53">
      <c r="A304" t="s">
        <v>442</v>
      </c>
      <c r="D304" t="s">
        <v>792</v>
      </c>
      <c r="H304">
        <f>H303*N30*0.001</f>
        <v>0</v>
      </c>
      <c r="I304">
        <f>I303*N30*0.001</f>
        <v>0</v>
      </c>
      <c r="J304">
        <f>J303*N30*0.001</f>
        <v>0</v>
      </c>
      <c r="K304">
        <f>K303*N30*0.001</f>
        <v>0</v>
      </c>
      <c r="L304">
        <f>L303*N30*0.001</f>
        <v>0</v>
      </c>
      <c r="M304">
        <f>M303*N30*0.001</f>
        <v>0</v>
      </c>
      <c r="N304">
        <f>N303*N30*0.001</f>
        <v>7.9722571548340389</v>
      </c>
      <c r="O304">
        <f>O303*N30*0.001</f>
        <v>0</v>
      </c>
      <c r="P304">
        <f>P303*N30*0.001</f>
        <v>0</v>
      </c>
      <c r="Q304">
        <f>Q303*N30*0.001</f>
        <v>0</v>
      </c>
      <c r="R304">
        <f>R303*N30*0.001</f>
        <v>0</v>
      </c>
      <c r="S304">
        <f>S303*N30*0.001</f>
        <v>0</v>
      </c>
      <c r="U304" s="16">
        <v>630300</v>
      </c>
      <c r="V304" t="s">
        <v>442</v>
      </c>
      <c r="W304" t="s">
        <v>792</v>
      </c>
      <c r="Y304" t="s">
        <v>389</v>
      </c>
      <c r="Z304" t="str">
        <f>VLOOKUP(Y304,'Price Table 8 OHB'!A:B,2,FALSE)</f>
        <v>Ground Control Centre Development</v>
      </c>
      <c r="AC304" s="565">
        <f>AC303*$N$30*0.001</f>
        <v>0</v>
      </c>
      <c r="AD304">
        <f t="shared" ref="AD304" si="154">AD303*$N$30*0.001</f>
        <v>0</v>
      </c>
      <c r="AE304">
        <f>AE303*$N$30*0.001</f>
        <v>0</v>
      </c>
      <c r="AF304">
        <f t="shared" ref="AF304" si="155">AF303*$N$30*0.001</f>
        <v>0</v>
      </c>
      <c r="AG304">
        <f>AG303*$N$30*0.001</f>
        <v>3.9861285774170194</v>
      </c>
      <c r="AH304">
        <f t="shared" ref="AH304:AM304" si="156">AH303*$N$30*0.001</f>
        <v>0</v>
      </c>
      <c r="AI304">
        <f t="shared" si="156"/>
        <v>0</v>
      </c>
      <c r="AJ304">
        <f t="shared" si="156"/>
        <v>0</v>
      </c>
      <c r="AK304">
        <f t="shared" si="156"/>
        <v>0</v>
      </c>
      <c r="AL304">
        <f t="shared" si="156"/>
        <v>3.9861285774170194</v>
      </c>
      <c r="AM304">
        <f t="shared" si="156"/>
        <v>0</v>
      </c>
      <c r="AN304">
        <f>AN303*$N$30*0.001</f>
        <v>0</v>
      </c>
      <c r="AO304">
        <f t="shared" ref="AO304:AZ304" si="157">AO303*$N$30*0.001</f>
        <v>0</v>
      </c>
      <c r="AP304">
        <f t="shared" si="157"/>
        <v>0</v>
      </c>
      <c r="AQ304">
        <f t="shared" si="157"/>
        <v>0</v>
      </c>
      <c r="AR304">
        <f t="shared" si="157"/>
        <v>0</v>
      </c>
      <c r="AS304">
        <f t="shared" si="157"/>
        <v>0</v>
      </c>
      <c r="AT304">
        <f t="shared" si="157"/>
        <v>0</v>
      </c>
      <c r="AU304">
        <f t="shared" si="157"/>
        <v>0</v>
      </c>
      <c r="AV304">
        <f t="shared" si="157"/>
        <v>0</v>
      </c>
      <c r="AW304">
        <f t="shared" si="157"/>
        <v>0</v>
      </c>
      <c r="AX304">
        <f t="shared" si="157"/>
        <v>0</v>
      </c>
      <c r="AY304">
        <f t="shared" si="157"/>
        <v>0</v>
      </c>
      <c r="AZ304" s="275">
        <f t="shared" si="157"/>
        <v>0</v>
      </c>
    </row>
    <row r="305" spans="1:53">
      <c r="D305" t="s">
        <v>793</v>
      </c>
      <c r="U305" s="16">
        <v>630300</v>
      </c>
      <c r="V305" t="s">
        <v>442</v>
      </c>
      <c r="W305" t="s">
        <v>793</v>
      </c>
      <c r="Y305" t="s">
        <v>389</v>
      </c>
      <c r="Z305" t="str">
        <f>VLOOKUP(Y305,'Price Table 8 OHB'!A:B,2,FALSE)</f>
        <v>Ground Control Centre Development</v>
      </c>
      <c r="AC305" s="565"/>
      <c r="AZ305" s="275"/>
    </row>
    <row r="306" spans="1:53">
      <c r="D306" t="s">
        <v>966</v>
      </c>
      <c r="U306" s="16">
        <v>630300</v>
      </c>
      <c r="V306" t="s">
        <v>442</v>
      </c>
      <c r="W306" t="s">
        <v>966</v>
      </c>
      <c r="Y306" t="s">
        <v>389</v>
      </c>
      <c r="Z306" t="str">
        <f>VLOOKUP(Y306,'Price Table 8 OHB'!A:B,2,FALSE)</f>
        <v>Ground Control Centre Development</v>
      </c>
      <c r="AC306" s="565"/>
      <c r="AZ306" s="275"/>
    </row>
    <row r="307" spans="1:53" ht="15.75" thickBot="1">
      <c r="D307" t="s">
        <v>794</v>
      </c>
      <c r="H307">
        <f>H304+H305+H306</f>
        <v>0</v>
      </c>
      <c r="I307">
        <f>I304+I305+I306</f>
        <v>0</v>
      </c>
      <c r="J307">
        <f t="shared" ref="J307:S307" si="158">J304+J305+J306</f>
        <v>0</v>
      </c>
      <c r="K307">
        <f t="shared" si="158"/>
        <v>0</v>
      </c>
      <c r="L307">
        <f t="shared" si="158"/>
        <v>0</v>
      </c>
      <c r="M307">
        <f t="shared" si="158"/>
        <v>0</v>
      </c>
      <c r="N307">
        <f t="shared" si="158"/>
        <v>7.9722571548340389</v>
      </c>
      <c r="O307">
        <f t="shared" si="158"/>
        <v>0</v>
      </c>
      <c r="P307">
        <f t="shared" si="158"/>
        <v>0</v>
      </c>
      <c r="Q307">
        <f t="shared" si="158"/>
        <v>0</v>
      </c>
      <c r="R307">
        <f t="shared" si="158"/>
        <v>0</v>
      </c>
      <c r="S307">
        <f t="shared" si="158"/>
        <v>0</v>
      </c>
      <c r="T307">
        <f>SUM(H307:S307)</f>
        <v>7.9722571548340389</v>
      </c>
      <c r="U307" s="16"/>
      <c r="W307" t="s">
        <v>794</v>
      </c>
      <c r="AC307" s="567">
        <f>SUM(AC304:AC306)</f>
        <v>0</v>
      </c>
      <c r="AD307" s="265">
        <f t="shared" ref="AD307:AZ307" si="159">SUM(AD304:AD306)</f>
        <v>0</v>
      </c>
      <c r="AE307" s="265">
        <f t="shared" si="159"/>
        <v>0</v>
      </c>
      <c r="AF307" s="265">
        <f t="shared" si="159"/>
        <v>0</v>
      </c>
      <c r="AG307" s="265">
        <f t="shared" si="159"/>
        <v>3.9861285774170194</v>
      </c>
      <c r="AH307" s="265">
        <f t="shared" si="159"/>
        <v>0</v>
      </c>
      <c r="AI307" s="265">
        <f t="shared" si="159"/>
        <v>0</v>
      </c>
      <c r="AJ307" s="265">
        <f t="shared" si="159"/>
        <v>0</v>
      </c>
      <c r="AK307" s="265">
        <f t="shared" si="159"/>
        <v>0</v>
      </c>
      <c r="AL307" s="265">
        <f t="shared" si="159"/>
        <v>3.9861285774170194</v>
      </c>
      <c r="AM307" s="265">
        <f t="shared" si="159"/>
        <v>0</v>
      </c>
      <c r="AN307" s="265">
        <f t="shared" si="159"/>
        <v>0</v>
      </c>
      <c r="AO307" s="265">
        <f t="shared" si="159"/>
        <v>0</v>
      </c>
      <c r="AP307" s="265">
        <f t="shared" si="159"/>
        <v>0</v>
      </c>
      <c r="AQ307" s="265">
        <f t="shared" si="159"/>
        <v>0</v>
      </c>
      <c r="AR307" s="265">
        <f t="shared" si="159"/>
        <v>0</v>
      </c>
      <c r="AS307" s="265">
        <f t="shared" si="159"/>
        <v>0</v>
      </c>
      <c r="AT307" s="265">
        <f t="shared" si="159"/>
        <v>0</v>
      </c>
      <c r="AU307" s="265">
        <f t="shared" si="159"/>
        <v>0</v>
      </c>
      <c r="AV307" s="265">
        <f t="shared" si="159"/>
        <v>0</v>
      </c>
      <c r="AW307" s="265">
        <f t="shared" si="159"/>
        <v>0</v>
      </c>
      <c r="AX307" s="265">
        <f t="shared" si="159"/>
        <v>0</v>
      </c>
      <c r="AY307" s="265">
        <f t="shared" si="159"/>
        <v>0</v>
      </c>
      <c r="AZ307" s="276">
        <f t="shared" si="159"/>
        <v>0</v>
      </c>
      <c r="BA307" s="16">
        <f>SUM(AC307:AZ307)</f>
        <v>7.9722571548340389</v>
      </c>
    </row>
    <row r="308" spans="1:53" ht="15.75" thickBot="1">
      <c r="A308" s="90"/>
      <c r="B308" s="91"/>
      <c r="C308" s="90"/>
      <c r="D308" s="90"/>
      <c r="E308" s="90"/>
      <c r="F308" s="90"/>
      <c r="G308" s="90"/>
      <c r="H308" s="90"/>
      <c r="I308" s="90"/>
      <c r="J308" s="90"/>
      <c r="K308" s="90"/>
      <c r="L308" s="90"/>
      <c r="M308" s="90"/>
      <c r="N308" s="90"/>
      <c r="O308" s="90"/>
      <c r="P308" s="90"/>
      <c r="Q308" s="90"/>
      <c r="R308" s="90"/>
      <c r="S308" s="90"/>
      <c r="W308" s="94" t="s">
        <v>1144</v>
      </c>
      <c r="X308" s="17" t="s">
        <v>1147</v>
      </c>
    </row>
    <row r="309" spans="1:53">
      <c r="A309" t="s">
        <v>1148</v>
      </c>
      <c r="C309" s="17"/>
      <c r="D309" t="s">
        <v>791</v>
      </c>
      <c r="N309">
        <v>170</v>
      </c>
      <c r="O309">
        <v>250</v>
      </c>
      <c r="P309">
        <v>250</v>
      </c>
      <c r="Q309">
        <v>250</v>
      </c>
      <c r="R309">
        <v>250</v>
      </c>
      <c r="S309">
        <v>250</v>
      </c>
      <c r="U309" s="16">
        <v>640110</v>
      </c>
      <c r="V309" t="s">
        <v>1149</v>
      </c>
      <c r="W309" t="s">
        <v>791</v>
      </c>
      <c r="AC309" s="563"/>
      <c r="AD309" s="564"/>
      <c r="AE309" s="564"/>
      <c r="AF309" s="564"/>
      <c r="AG309" s="564"/>
      <c r="AH309" s="564"/>
      <c r="AI309" s="564"/>
      <c r="AJ309" s="564"/>
      <c r="AK309" s="564"/>
      <c r="AL309" s="564"/>
      <c r="AM309" s="564"/>
      <c r="AN309" s="568">
        <v>125</v>
      </c>
      <c r="AO309" s="568">
        <v>125</v>
      </c>
      <c r="AP309" s="568">
        <v>125</v>
      </c>
      <c r="AQ309" s="568">
        <f>O309/2</f>
        <v>125</v>
      </c>
      <c r="AR309" s="568">
        <f>N309/3</f>
        <v>56.666666666666664</v>
      </c>
      <c r="AS309" s="568">
        <f>N309/3</f>
        <v>56.666666666666664</v>
      </c>
      <c r="AT309" s="568">
        <v>125</v>
      </c>
      <c r="AU309" s="568">
        <f>Q309/2</f>
        <v>125</v>
      </c>
      <c r="AV309" s="568">
        <f>Q309/2</f>
        <v>125</v>
      </c>
      <c r="AW309" s="568">
        <f>R309/2</f>
        <v>125</v>
      </c>
      <c r="AX309" s="568">
        <f>R309/2</f>
        <v>125</v>
      </c>
      <c r="AY309" s="568">
        <f>S309/2</f>
        <v>125</v>
      </c>
      <c r="AZ309" s="569">
        <f>N309/3</f>
        <v>56.666666666666664</v>
      </c>
    </row>
    <row r="310" spans="1:53">
      <c r="A310" t="s">
        <v>1149</v>
      </c>
      <c r="D310" t="s">
        <v>792</v>
      </c>
      <c r="H310">
        <f>H309*N30*0.001</f>
        <v>0</v>
      </c>
      <c r="I310">
        <f>I309*N30*0.001</f>
        <v>0</v>
      </c>
      <c r="J310">
        <f>J309*N30*0.001</f>
        <v>0</v>
      </c>
      <c r="K310">
        <f>K309*N30*0.001</f>
        <v>0</v>
      </c>
      <c r="L310">
        <f>L309*N30*0.001</f>
        <v>0</v>
      </c>
      <c r="M310">
        <f>M309*N30*0.001</f>
        <v>0</v>
      </c>
      <c r="N310">
        <f>N309*N30*0.001</f>
        <v>16.941046454022334</v>
      </c>
      <c r="O310">
        <f>O309*N30*0.001</f>
        <v>24.913303608856371</v>
      </c>
      <c r="P310">
        <f>P309*N30*0.001</f>
        <v>24.913303608856371</v>
      </c>
      <c r="Q310">
        <f>Q309*N30*0.001</f>
        <v>24.913303608856371</v>
      </c>
      <c r="R310">
        <f>R309*N30*0.001</f>
        <v>24.913303608856371</v>
      </c>
      <c r="S310">
        <f>S309*N30*0.001</f>
        <v>24.913303608856371</v>
      </c>
      <c r="U310" s="16">
        <v>640110</v>
      </c>
      <c r="V310" t="s">
        <v>1149</v>
      </c>
      <c r="W310" t="s">
        <v>792</v>
      </c>
      <c r="Y310" t="s">
        <v>434</v>
      </c>
      <c r="Z310" t="str">
        <f>VLOOKUP(Y310,'Price Table 8 OHB'!A:B,2,FALSE)</f>
        <v>Mission Operations</v>
      </c>
      <c r="AC310" s="565">
        <f>AC309*$N$30*0.001</f>
        <v>0</v>
      </c>
      <c r="AD310">
        <f t="shared" ref="AD310" si="160">AD309*$N$30*0.001</f>
        <v>0</v>
      </c>
      <c r="AE310">
        <f>AE309*$N$30*0.001</f>
        <v>0</v>
      </c>
      <c r="AF310">
        <f t="shared" ref="AF310:AZ310" si="161">AF309*$N$30*0.001</f>
        <v>0</v>
      </c>
      <c r="AG310">
        <f t="shared" si="161"/>
        <v>0</v>
      </c>
      <c r="AH310">
        <f t="shared" si="161"/>
        <v>0</v>
      </c>
      <c r="AI310">
        <f t="shared" si="161"/>
        <v>0</v>
      </c>
      <c r="AJ310">
        <f t="shared" si="161"/>
        <v>0</v>
      </c>
      <c r="AK310">
        <f t="shared" si="161"/>
        <v>0</v>
      </c>
      <c r="AL310">
        <f t="shared" si="161"/>
        <v>0</v>
      </c>
      <c r="AM310">
        <f t="shared" si="161"/>
        <v>0</v>
      </c>
      <c r="AN310">
        <f t="shared" si="161"/>
        <v>12.456651804428185</v>
      </c>
      <c r="AO310">
        <f t="shared" si="161"/>
        <v>12.456651804428185</v>
      </c>
      <c r="AP310">
        <f t="shared" si="161"/>
        <v>12.456651804428185</v>
      </c>
      <c r="AQ310">
        <f t="shared" si="161"/>
        <v>12.456651804428185</v>
      </c>
      <c r="AR310">
        <f t="shared" si="161"/>
        <v>5.6470154846741112</v>
      </c>
      <c r="AS310">
        <f t="shared" si="161"/>
        <v>5.6470154846741112</v>
      </c>
      <c r="AT310">
        <f t="shared" si="161"/>
        <v>12.456651804428185</v>
      </c>
      <c r="AU310">
        <f t="shared" si="161"/>
        <v>12.456651804428185</v>
      </c>
      <c r="AV310">
        <f t="shared" si="161"/>
        <v>12.456651804428185</v>
      </c>
      <c r="AW310">
        <f t="shared" si="161"/>
        <v>12.456651804428185</v>
      </c>
      <c r="AX310">
        <f t="shared" si="161"/>
        <v>12.456651804428185</v>
      </c>
      <c r="AY310">
        <f t="shared" si="161"/>
        <v>12.456651804428185</v>
      </c>
      <c r="AZ310" s="275">
        <f t="shared" si="161"/>
        <v>5.6470154846741112</v>
      </c>
    </row>
    <row r="311" spans="1:53">
      <c r="D311" t="s">
        <v>793</v>
      </c>
      <c r="U311" s="16">
        <v>640110</v>
      </c>
      <c r="V311" t="s">
        <v>1149</v>
      </c>
      <c r="W311" t="s">
        <v>793</v>
      </c>
      <c r="Y311" t="s">
        <v>434</v>
      </c>
      <c r="Z311" t="str">
        <f>VLOOKUP(Y311,'Price Table 8 OHB'!A:B,2,FALSE)</f>
        <v>Mission Operations</v>
      </c>
      <c r="AC311" s="565"/>
      <c r="AZ311" s="275"/>
    </row>
    <row r="312" spans="1:53">
      <c r="D312" t="s">
        <v>966</v>
      </c>
      <c r="U312" s="16">
        <v>640110</v>
      </c>
      <c r="V312" t="s">
        <v>1149</v>
      </c>
      <c r="W312" t="s">
        <v>966</v>
      </c>
      <c r="Y312" t="s">
        <v>434</v>
      </c>
      <c r="Z312" t="str">
        <f>VLOOKUP(Y312,'Price Table 8 OHB'!A:B,2,FALSE)</f>
        <v>Mission Operations</v>
      </c>
      <c r="AC312" s="565"/>
      <c r="AZ312" s="275"/>
    </row>
    <row r="313" spans="1:53" ht="15.75" thickBot="1">
      <c r="D313" t="s">
        <v>794</v>
      </c>
      <c r="H313">
        <f>H310+I311+I312</f>
        <v>0</v>
      </c>
      <c r="I313">
        <f>I310+I311+I312</f>
        <v>0</v>
      </c>
      <c r="J313">
        <f t="shared" ref="J313:S313" si="162">J310+J311+J312</f>
        <v>0</v>
      </c>
      <c r="K313">
        <f t="shared" si="162"/>
        <v>0</v>
      </c>
      <c r="L313">
        <f t="shared" si="162"/>
        <v>0</v>
      </c>
      <c r="M313">
        <f t="shared" si="162"/>
        <v>0</v>
      </c>
      <c r="N313">
        <f t="shared" si="162"/>
        <v>16.941046454022334</v>
      </c>
      <c r="O313">
        <f t="shared" si="162"/>
        <v>24.913303608856371</v>
      </c>
      <c r="P313">
        <f t="shared" si="162"/>
        <v>24.913303608856371</v>
      </c>
      <c r="Q313">
        <f t="shared" si="162"/>
        <v>24.913303608856371</v>
      </c>
      <c r="R313">
        <f t="shared" si="162"/>
        <v>24.913303608856371</v>
      </c>
      <c r="S313">
        <f t="shared" si="162"/>
        <v>24.913303608856371</v>
      </c>
      <c r="T313">
        <f>SUM(H313:S313)</f>
        <v>141.50756449830419</v>
      </c>
      <c r="U313" s="16"/>
      <c r="W313" t="s">
        <v>794</v>
      </c>
      <c r="AC313" s="567">
        <f>SUM(AC310:AC312)</f>
        <v>0</v>
      </c>
      <c r="AD313" s="265">
        <f t="shared" ref="AD313:AZ313" si="163">SUM(AD310:AD312)</f>
        <v>0</v>
      </c>
      <c r="AE313" s="265">
        <f t="shared" si="163"/>
        <v>0</v>
      </c>
      <c r="AF313" s="265">
        <f t="shared" si="163"/>
        <v>0</v>
      </c>
      <c r="AG313" s="265">
        <f t="shared" si="163"/>
        <v>0</v>
      </c>
      <c r="AH313" s="265">
        <f t="shared" si="163"/>
        <v>0</v>
      </c>
      <c r="AI313" s="265">
        <f t="shared" si="163"/>
        <v>0</v>
      </c>
      <c r="AJ313" s="265">
        <f t="shared" si="163"/>
        <v>0</v>
      </c>
      <c r="AK313" s="265">
        <f t="shared" si="163"/>
        <v>0</v>
      </c>
      <c r="AL313" s="265">
        <f t="shared" si="163"/>
        <v>0</v>
      </c>
      <c r="AM313" s="265">
        <f t="shared" si="163"/>
        <v>0</v>
      </c>
      <c r="AN313" s="265">
        <f t="shared" si="163"/>
        <v>12.456651804428185</v>
      </c>
      <c r="AO313" s="265">
        <f t="shared" si="163"/>
        <v>12.456651804428185</v>
      </c>
      <c r="AP313" s="265">
        <f t="shared" si="163"/>
        <v>12.456651804428185</v>
      </c>
      <c r="AQ313" s="265">
        <f t="shared" si="163"/>
        <v>12.456651804428185</v>
      </c>
      <c r="AR313" s="265">
        <f t="shared" si="163"/>
        <v>5.6470154846741112</v>
      </c>
      <c r="AS313" s="265">
        <f t="shared" si="163"/>
        <v>5.6470154846741112</v>
      </c>
      <c r="AT313" s="265">
        <f t="shared" si="163"/>
        <v>12.456651804428185</v>
      </c>
      <c r="AU313" s="265">
        <f t="shared" si="163"/>
        <v>12.456651804428185</v>
      </c>
      <c r="AV313" s="265">
        <f t="shared" si="163"/>
        <v>12.456651804428185</v>
      </c>
      <c r="AW313" s="265">
        <f t="shared" si="163"/>
        <v>12.456651804428185</v>
      </c>
      <c r="AX313" s="265">
        <f t="shared" si="163"/>
        <v>12.456651804428185</v>
      </c>
      <c r="AY313" s="265">
        <f t="shared" si="163"/>
        <v>12.456651804428185</v>
      </c>
      <c r="AZ313" s="276">
        <f t="shared" si="163"/>
        <v>5.6470154846741112</v>
      </c>
      <c r="BA313" s="16">
        <f>SUM(AC313:AZ313)</f>
        <v>141.50756449830422</v>
      </c>
    </row>
    <row r="314" spans="1:53" ht="48.95" customHeight="1" thickBot="1">
      <c r="A314" s="90"/>
      <c r="B314" s="91"/>
      <c r="C314" s="90"/>
      <c r="D314" s="90"/>
      <c r="E314" s="90"/>
      <c r="F314" s="90"/>
      <c r="G314" s="90"/>
      <c r="H314" s="90"/>
      <c r="I314" s="90"/>
      <c r="J314" s="90"/>
      <c r="K314" s="90"/>
      <c r="L314" s="90"/>
      <c r="M314" s="90"/>
      <c r="N314" s="90"/>
      <c r="O314" s="90"/>
      <c r="P314" s="90"/>
      <c r="Q314" s="90"/>
      <c r="R314" s="90"/>
      <c r="S314" s="90"/>
      <c r="W314" s="94" t="s">
        <v>1150</v>
      </c>
      <c r="X314" s="562" t="s">
        <v>1151</v>
      </c>
      <c r="AV314" s="92"/>
      <c r="AW314" s="92"/>
    </row>
    <row r="315" spans="1:53">
      <c r="A315" t="s">
        <v>1152</v>
      </c>
      <c r="C315" s="17"/>
      <c r="D315" t="s">
        <v>791</v>
      </c>
      <c r="P315">
        <v>80</v>
      </c>
      <c r="U315" s="16">
        <v>720300</v>
      </c>
      <c r="V315" t="s">
        <v>442</v>
      </c>
      <c r="W315" t="s">
        <v>791</v>
      </c>
      <c r="AC315" s="563"/>
      <c r="AD315" s="564"/>
      <c r="AE315" s="564"/>
      <c r="AF315" s="564"/>
      <c r="AG315" s="564"/>
      <c r="AH315" s="564"/>
      <c r="AI315" s="564"/>
      <c r="AJ315" s="564"/>
      <c r="AK315" s="564"/>
      <c r="AL315" s="564"/>
      <c r="AM315" s="564"/>
      <c r="AN315" s="564"/>
      <c r="AO315" s="564"/>
      <c r="AP315" s="564"/>
      <c r="AQ315" s="564"/>
      <c r="AR315" s="564"/>
      <c r="AS315" s="564"/>
      <c r="AT315" s="564"/>
      <c r="AU315" s="564"/>
      <c r="AV315" s="568">
        <f>P315/2</f>
        <v>40</v>
      </c>
      <c r="AW315" s="568">
        <f>P315/2</f>
        <v>40</v>
      </c>
      <c r="AX315" s="564"/>
      <c r="AY315" s="564"/>
      <c r="AZ315" s="274"/>
    </row>
    <row r="316" spans="1:53">
      <c r="A316" t="s">
        <v>442</v>
      </c>
      <c r="D316" t="s">
        <v>792</v>
      </c>
      <c r="H316">
        <f>H315*N30*0.001</f>
        <v>0</v>
      </c>
      <c r="I316">
        <f>I315*N30*0.001</f>
        <v>0</v>
      </c>
      <c r="J316">
        <f>J315*N30*0.001</f>
        <v>0</v>
      </c>
      <c r="K316">
        <f>K315*N30*0.001</f>
        <v>0</v>
      </c>
      <c r="L316">
        <f>L315*N30*0.001</f>
        <v>0</v>
      </c>
      <c r="M316">
        <f>M315*N30*0.001</f>
        <v>0</v>
      </c>
      <c r="N316">
        <f>N315*N30*0.001</f>
        <v>0</v>
      </c>
      <c r="O316">
        <f>O315*N30*0.001</f>
        <v>0</v>
      </c>
      <c r="P316">
        <f>P315*N30*0.001</f>
        <v>7.9722571548340389</v>
      </c>
      <c r="Q316">
        <f>Q315*N30*0.001</f>
        <v>0</v>
      </c>
      <c r="R316">
        <f>R315*N30*0.001</f>
        <v>0</v>
      </c>
      <c r="S316">
        <f>S315*N30*0.001</f>
        <v>0</v>
      </c>
      <c r="U316" s="16">
        <v>720300</v>
      </c>
      <c r="V316" t="s">
        <v>442</v>
      </c>
      <c r="W316" t="s">
        <v>792</v>
      </c>
      <c r="Y316" t="s">
        <v>434</v>
      </c>
      <c r="Z316" t="str">
        <f>VLOOKUP(Y316,'Price Table 8 OHB'!A:B,2,FALSE)</f>
        <v>Mission Operations</v>
      </c>
      <c r="AC316" s="565">
        <f>AC315*$N$30*0.001</f>
        <v>0</v>
      </c>
      <c r="AD316">
        <f t="shared" ref="AD316" si="164">AD315*$N$30*0.001</f>
        <v>0</v>
      </c>
      <c r="AE316">
        <f>AE315*$N$30*0.001</f>
        <v>0</v>
      </c>
      <c r="AF316">
        <f t="shared" ref="AF316:AU316" si="165">AF315*$N$30*0.001</f>
        <v>0</v>
      </c>
      <c r="AG316">
        <f t="shared" si="165"/>
        <v>0</v>
      </c>
      <c r="AH316">
        <f t="shared" si="165"/>
        <v>0</v>
      </c>
      <c r="AI316">
        <f t="shared" si="165"/>
        <v>0</v>
      </c>
      <c r="AJ316">
        <f t="shared" si="165"/>
        <v>0</v>
      </c>
      <c r="AK316">
        <f t="shared" si="165"/>
        <v>0</v>
      </c>
      <c r="AL316">
        <f t="shared" si="165"/>
        <v>0</v>
      </c>
      <c r="AM316">
        <f t="shared" si="165"/>
        <v>0</v>
      </c>
      <c r="AN316">
        <f t="shared" si="165"/>
        <v>0</v>
      </c>
      <c r="AO316">
        <f t="shared" si="165"/>
        <v>0</v>
      </c>
      <c r="AP316">
        <f t="shared" si="165"/>
        <v>0</v>
      </c>
      <c r="AQ316">
        <f t="shared" si="165"/>
        <v>0</v>
      </c>
      <c r="AR316">
        <f t="shared" si="165"/>
        <v>0</v>
      </c>
      <c r="AS316">
        <f t="shared" si="165"/>
        <v>0</v>
      </c>
      <c r="AT316">
        <f t="shared" si="165"/>
        <v>0</v>
      </c>
      <c r="AU316">
        <f t="shared" si="165"/>
        <v>0</v>
      </c>
      <c r="AV316">
        <f>AV315*$N$30*0.001</f>
        <v>3.9861285774170194</v>
      </c>
      <c r="AW316">
        <f>AW315*$N$30*0.001</f>
        <v>3.9861285774170194</v>
      </c>
      <c r="AX316">
        <f t="shared" ref="AX316:AZ316" si="166">AX315*$N$30*0.001</f>
        <v>0</v>
      </c>
      <c r="AY316">
        <f t="shared" si="166"/>
        <v>0</v>
      </c>
      <c r="AZ316" s="275">
        <f t="shared" si="166"/>
        <v>0</v>
      </c>
    </row>
    <row r="317" spans="1:53">
      <c r="D317" t="s">
        <v>1153</v>
      </c>
      <c r="U317" s="16">
        <v>720300</v>
      </c>
      <c r="V317" t="s">
        <v>442</v>
      </c>
      <c r="W317" t="s">
        <v>793</v>
      </c>
      <c r="Y317" t="s">
        <v>434</v>
      </c>
      <c r="Z317" t="str">
        <f>VLOOKUP(Y317,'Price Table 8 OHB'!A:B,2,FALSE)</f>
        <v>Mission Operations</v>
      </c>
      <c r="AC317" s="565"/>
      <c r="AZ317" s="275"/>
    </row>
    <row r="318" spans="1:53">
      <c r="D318" t="s">
        <v>966</v>
      </c>
      <c r="U318" s="16">
        <v>720300</v>
      </c>
      <c r="V318" t="s">
        <v>442</v>
      </c>
      <c r="W318" t="s">
        <v>966</v>
      </c>
      <c r="Y318" t="s">
        <v>434</v>
      </c>
      <c r="Z318" t="str">
        <f>VLOOKUP(Y318,'Price Table 8 OHB'!A:B,2,FALSE)</f>
        <v>Mission Operations</v>
      </c>
      <c r="AC318" s="565"/>
      <c r="AZ318" s="275"/>
    </row>
    <row r="319" spans="1:53" ht="15.75" thickBot="1">
      <c r="D319" t="s">
        <v>794</v>
      </c>
      <c r="H319">
        <f>H316+H317+H318</f>
        <v>0</v>
      </c>
      <c r="I319">
        <f>I316+I317+I318</f>
        <v>0</v>
      </c>
      <c r="J319">
        <f t="shared" ref="J319:S319" si="167">J316+J317+J318</f>
        <v>0</v>
      </c>
      <c r="K319">
        <f t="shared" si="167"/>
        <v>0</v>
      </c>
      <c r="L319">
        <f t="shared" si="167"/>
        <v>0</v>
      </c>
      <c r="M319">
        <f t="shared" si="167"/>
        <v>0</v>
      </c>
      <c r="N319">
        <f t="shared" si="167"/>
        <v>0</v>
      </c>
      <c r="O319">
        <f t="shared" si="167"/>
        <v>0</v>
      </c>
      <c r="P319">
        <f t="shared" si="167"/>
        <v>7.9722571548340389</v>
      </c>
      <c r="Q319">
        <f t="shared" si="167"/>
        <v>0</v>
      </c>
      <c r="R319">
        <f t="shared" si="167"/>
        <v>0</v>
      </c>
      <c r="S319">
        <f t="shared" si="167"/>
        <v>0</v>
      </c>
      <c r="T319">
        <f>SUM(H319:S319)</f>
        <v>7.9722571548340389</v>
      </c>
      <c r="U319" s="16"/>
      <c r="W319" t="s">
        <v>794</v>
      </c>
      <c r="AC319" s="567">
        <f>SUM(AC316:AC318)</f>
        <v>0</v>
      </c>
      <c r="AD319" s="265">
        <f t="shared" ref="AD319:AZ319" si="168">SUM(AD316:AD318)</f>
        <v>0</v>
      </c>
      <c r="AE319" s="265">
        <f t="shared" si="168"/>
        <v>0</v>
      </c>
      <c r="AF319" s="265">
        <f t="shared" si="168"/>
        <v>0</v>
      </c>
      <c r="AG319" s="265">
        <f t="shared" si="168"/>
        <v>0</v>
      </c>
      <c r="AH319" s="265">
        <f t="shared" si="168"/>
        <v>0</v>
      </c>
      <c r="AI319" s="265">
        <f t="shared" si="168"/>
        <v>0</v>
      </c>
      <c r="AJ319" s="265">
        <f t="shared" si="168"/>
        <v>0</v>
      </c>
      <c r="AK319" s="265">
        <f t="shared" si="168"/>
        <v>0</v>
      </c>
      <c r="AL319" s="265">
        <f t="shared" si="168"/>
        <v>0</v>
      </c>
      <c r="AM319" s="265">
        <f t="shared" si="168"/>
        <v>0</v>
      </c>
      <c r="AN319" s="265">
        <f t="shared" si="168"/>
        <v>0</v>
      </c>
      <c r="AO319" s="265">
        <f t="shared" si="168"/>
        <v>0</v>
      </c>
      <c r="AP319" s="265">
        <f t="shared" si="168"/>
        <v>0</v>
      </c>
      <c r="AQ319" s="265">
        <f t="shared" si="168"/>
        <v>0</v>
      </c>
      <c r="AR319" s="265">
        <f t="shared" si="168"/>
        <v>0</v>
      </c>
      <c r="AS319" s="265">
        <f t="shared" si="168"/>
        <v>0</v>
      </c>
      <c r="AT319" s="265">
        <f t="shared" si="168"/>
        <v>0</v>
      </c>
      <c r="AU319" s="265">
        <f t="shared" si="168"/>
        <v>0</v>
      </c>
      <c r="AV319" s="265">
        <f t="shared" si="168"/>
        <v>3.9861285774170194</v>
      </c>
      <c r="AW319" s="265">
        <f t="shared" si="168"/>
        <v>3.9861285774170194</v>
      </c>
      <c r="AX319" s="265">
        <f t="shared" si="168"/>
        <v>0</v>
      </c>
      <c r="AY319" s="265">
        <f t="shared" si="168"/>
        <v>0</v>
      </c>
      <c r="AZ319" s="276">
        <f t="shared" si="168"/>
        <v>0</v>
      </c>
      <c r="BA319" s="16">
        <f>SUM(AC319:AZ319)</f>
        <v>7.9722571548340389</v>
      </c>
    </row>
    <row r="320" spans="1:53" ht="15.75" thickBot="1">
      <c r="A320" s="73"/>
      <c r="B320" s="70"/>
      <c r="C320" s="73"/>
      <c r="D320" s="73"/>
      <c r="E320" s="73"/>
      <c r="F320" s="73"/>
      <c r="G320" s="73"/>
      <c r="H320" s="73"/>
      <c r="I320" s="73"/>
      <c r="J320" s="73"/>
      <c r="K320" s="73"/>
      <c r="L320" s="73"/>
      <c r="M320" s="73"/>
      <c r="N320" s="73"/>
      <c r="O320" s="73"/>
      <c r="P320" s="73"/>
      <c r="Q320" s="73"/>
      <c r="R320" s="73"/>
      <c r="S320" s="73"/>
      <c r="W320" s="72" t="s">
        <v>387</v>
      </c>
    </row>
    <row r="321" spans="1:53">
      <c r="A321" s="73" t="s">
        <v>387</v>
      </c>
      <c r="B321" s="70"/>
      <c r="C321" s="73"/>
      <c r="D321" s="73" t="s">
        <v>791</v>
      </c>
      <c r="E321" s="73"/>
      <c r="F321" s="73"/>
      <c r="G321" s="73"/>
      <c r="H321" s="73">
        <f>H279+H285+H291+H297+H303+H309+H315</f>
        <v>0</v>
      </c>
      <c r="I321" s="73">
        <f>I279+I285+I291+I297+I303+I309+I315</f>
        <v>0</v>
      </c>
      <c r="J321" s="73">
        <f t="shared" ref="J321:S321" si="169">J279+J285+J291+J297+J303+J309+J315</f>
        <v>1470</v>
      </c>
      <c r="K321" s="73">
        <f t="shared" si="169"/>
        <v>2750</v>
      </c>
      <c r="L321" s="73">
        <f t="shared" si="169"/>
        <v>1470</v>
      </c>
      <c r="M321" s="73">
        <f t="shared" si="169"/>
        <v>1945</v>
      </c>
      <c r="N321" s="73">
        <f t="shared" si="169"/>
        <v>690</v>
      </c>
      <c r="O321" s="73">
        <f t="shared" si="169"/>
        <v>250</v>
      </c>
      <c r="P321" s="73">
        <f t="shared" si="169"/>
        <v>330</v>
      </c>
      <c r="Q321" s="73">
        <f t="shared" si="169"/>
        <v>250</v>
      </c>
      <c r="R321" s="73">
        <f t="shared" si="169"/>
        <v>250</v>
      </c>
      <c r="S321" s="73">
        <f t="shared" si="169"/>
        <v>250</v>
      </c>
      <c r="V321" s="72" t="s">
        <v>387</v>
      </c>
      <c r="W321" s="73" t="s">
        <v>791</v>
      </c>
      <c r="AC321" s="571">
        <f>SUM(AC279,AC285,AC291,AC297,AC303,AC309,AC315)</f>
        <v>0</v>
      </c>
      <c r="AD321" s="572">
        <f t="shared" ref="AD321:AZ325" si="170">SUM(AD279,AD285,AD291,AD297,AD303,AD309,AD315)</f>
        <v>640</v>
      </c>
      <c r="AE321" s="572">
        <f t="shared" si="170"/>
        <v>1130</v>
      </c>
      <c r="AF321" s="572">
        <f t="shared" si="170"/>
        <v>490</v>
      </c>
      <c r="AG321" s="572">
        <f>SUM(AG279,AG285,AG291,AG297,AG303,AG309,AG315)</f>
        <v>530</v>
      </c>
      <c r="AH321" s="572">
        <f t="shared" si="170"/>
        <v>735</v>
      </c>
      <c r="AI321" s="572">
        <f t="shared" si="170"/>
        <v>735</v>
      </c>
      <c r="AJ321" s="572">
        <f t="shared" si="170"/>
        <v>1095</v>
      </c>
      <c r="AK321" s="572">
        <f t="shared" si="170"/>
        <v>1095</v>
      </c>
      <c r="AL321" s="572">
        <f t="shared" si="170"/>
        <v>652.5</v>
      </c>
      <c r="AM321" s="572">
        <f t="shared" si="170"/>
        <v>612.5</v>
      </c>
      <c r="AN321" s="572">
        <f>SUM(AN279,AN285,AN291,AN297,AN303,AN309,AN315)</f>
        <v>125</v>
      </c>
      <c r="AO321" s="572">
        <f t="shared" si="170"/>
        <v>125</v>
      </c>
      <c r="AP321" s="572">
        <f t="shared" si="170"/>
        <v>125</v>
      </c>
      <c r="AQ321" s="572">
        <f t="shared" si="170"/>
        <v>125</v>
      </c>
      <c r="AR321" s="572">
        <f t="shared" si="170"/>
        <v>56.666666666666664</v>
      </c>
      <c r="AS321" s="572">
        <f t="shared" si="170"/>
        <v>56.666666666666664</v>
      </c>
      <c r="AT321" s="572">
        <f t="shared" si="170"/>
        <v>125</v>
      </c>
      <c r="AU321" s="572">
        <f t="shared" si="170"/>
        <v>125</v>
      </c>
      <c r="AV321" s="572">
        <f t="shared" si="170"/>
        <v>385</v>
      </c>
      <c r="AW321" s="572">
        <f t="shared" si="170"/>
        <v>385</v>
      </c>
      <c r="AX321" s="572">
        <f t="shared" si="170"/>
        <v>125</v>
      </c>
      <c r="AY321" s="572">
        <f t="shared" si="170"/>
        <v>125</v>
      </c>
      <c r="AZ321" s="573">
        <f t="shared" si="170"/>
        <v>56.666666666666664</v>
      </c>
      <c r="BA321">
        <f>SUM(AC321:AZ321)</f>
        <v>9654.9999999999982</v>
      </c>
    </row>
    <row r="322" spans="1:53">
      <c r="A322" s="73"/>
      <c r="B322" s="70"/>
      <c r="C322" s="73"/>
      <c r="D322" s="73" t="s">
        <v>792</v>
      </c>
      <c r="E322" s="73"/>
      <c r="F322" s="73"/>
      <c r="G322" s="73"/>
      <c r="H322" s="73">
        <f>H321*N30*0.001</f>
        <v>0</v>
      </c>
      <c r="I322" s="73">
        <f>I321*N30*0.001</f>
        <v>0</v>
      </c>
      <c r="J322" s="73">
        <f>J321*N30*0.001</f>
        <v>146.49022522007547</v>
      </c>
      <c r="K322" s="73">
        <f>K321*N30*0.001</f>
        <v>274.04633969742008</v>
      </c>
      <c r="L322" s="73">
        <f>L321*N30*0.001</f>
        <v>146.49022522007547</v>
      </c>
      <c r="M322" s="73">
        <f>M321*N30*0.001</f>
        <v>193.82550207690258</v>
      </c>
      <c r="N322" s="73">
        <f>N321*N30*0.001</f>
        <v>68.760717960443586</v>
      </c>
      <c r="O322" s="73">
        <f>O321*N30*0.001</f>
        <v>24.913303608856371</v>
      </c>
      <c r="P322" s="73">
        <f>P321*N30*0.001</f>
        <v>32.885560763690407</v>
      </c>
      <c r="Q322" s="73">
        <f>Q321*N30*0.001</f>
        <v>24.913303608856371</v>
      </c>
      <c r="R322" s="73">
        <f>R321*N30*0.001</f>
        <v>24.913303608856371</v>
      </c>
      <c r="S322" s="73">
        <f>S321*N30*0.001</f>
        <v>24.913303608856371</v>
      </c>
      <c r="V322" s="72" t="s">
        <v>387</v>
      </c>
      <c r="W322" s="73" t="s">
        <v>792</v>
      </c>
      <c r="AC322" s="574">
        <f>SUM(AC280,AC286,AC292,AC298,AC304,AC310,AC316)</f>
        <v>0</v>
      </c>
      <c r="AD322" s="73">
        <f t="shared" si="170"/>
        <v>63.778057238672311</v>
      </c>
      <c r="AE322" s="73">
        <f t="shared" si="170"/>
        <v>112.60813231203079</v>
      </c>
      <c r="AF322" s="73">
        <f t="shared" si="170"/>
        <v>48.830075073358486</v>
      </c>
      <c r="AG322" s="73">
        <f t="shared" si="170"/>
        <v>52.816203650775506</v>
      </c>
      <c r="AH322" s="73">
        <f t="shared" si="170"/>
        <v>73.245112610037737</v>
      </c>
      <c r="AI322" s="73">
        <f t="shared" si="170"/>
        <v>73.245112610037737</v>
      </c>
      <c r="AJ322" s="73">
        <f t="shared" si="170"/>
        <v>109.1202698067909</v>
      </c>
      <c r="AK322" s="73">
        <f t="shared" si="170"/>
        <v>109.1202698067909</v>
      </c>
      <c r="AL322" s="73">
        <f t="shared" si="170"/>
        <v>65.023722419115131</v>
      </c>
      <c r="AM322" s="73">
        <f t="shared" si="170"/>
        <v>61.037593841698111</v>
      </c>
      <c r="AN322" s="73">
        <f t="shared" si="170"/>
        <v>12.456651804428185</v>
      </c>
      <c r="AO322" s="73">
        <f t="shared" si="170"/>
        <v>12.456651804428185</v>
      </c>
      <c r="AP322" s="73">
        <f t="shared" si="170"/>
        <v>12.456651804428185</v>
      </c>
      <c r="AQ322" s="73">
        <f t="shared" si="170"/>
        <v>12.456651804428185</v>
      </c>
      <c r="AR322" s="73">
        <f t="shared" si="170"/>
        <v>5.6470154846741112</v>
      </c>
      <c r="AS322" s="73">
        <f t="shared" si="170"/>
        <v>5.6470154846741112</v>
      </c>
      <c r="AT322" s="73">
        <f t="shared" si="170"/>
        <v>12.456651804428185</v>
      </c>
      <c r="AU322" s="73">
        <f t="shared" si="170"/>
        <v>12.456651804428185</v>
      </c>
      <c r="AV322" s="73">
        <f t="shared" si="170"/>
        <v>38.366487557638813</v>
      </c>
      <c r="AW322" s="73">
        <f t="shared" si="170"/>
        <v>38.366487557638813</v>
      </c>
      <c r="AX322" s="73">
        <f t="shared" si="170"/>
        <v>12.456651804428185</v>
      </c>
      <c r="AY322" s="73">
        <f t="shared" si="170"/>
        <v>12.456651804428185</v>
      </c>
      <c r="AZ322" s="575">
        <f t="shared" si="170"/>
        <v>5.6470154846741112</v>
      </c>
      <c r="BA322">
        <f t="shared" ref="BA322:BA325" si="171">SUM(AC322:AZ322)</f>
        <v>962.15178537403256</v>
      </c>
    </row>
    <row r="323" spans="1:53">
      <c r="A323" s="73"/>
      <c r="B323" s="70"/>
      <c r="C323" s="73"/>
      <c r="D323" s="73" t="s">
        <v>793</v>
      </c>
      <c r="E323" s="73"/>
      <c r="F323" s="73"/>
      <c r="G323" s="73"/>
      <c r="H323" s="73">
        <f>H281+H287+H293+H299+H305+H311+H317</f>
        <v>0</v>
      </c>
      <c r="I323" s="73">
        <f>I281+I287+I293+I299+I305+I311+I317</f>
        <v>0</v>
      </c>
      <c r="J323" s="73">
        <f t="shared" ref="J323:S324" si="172">J281+J287+J293+J299+J305+J311+J317</f>
        <v>0</v>
      </c>
      <c r="K323" s="73">
        <f t="shared" si="172"/>
        <v>0</v>
      </c>
      <c r="L323" s="73">
        <f t="shared" si="172"/>
        <v>0</v>
      </c>
      <c r="M323" s="73">
        <f t="shared" si="172"/>
        <v>0</v>
      </c>
      <c r="N323" s="73">
        <f t="shared" si="172"/>
        <v>20</v>
      </c>
      <c r="O323" s="73">
        <f t="shared" si="172"/>
        <v>0</v>
      </c>
      <c r="P323" s="73">
        <f t="shared" si="172"/>
        <v>0</v>
      </c>
      <c r="Q323" s="73">
        <f t="shared" si="172"/>
        <v>0</v>
      </c>
      <c r="R323" s="73">
        <f t="shared" si="172"/>
        <v>0</v>
      </c>
      <c r="S323" s="73">
        <f t="shared" si="172"/>
        <v>0</v>
      </c>
      <c r="V323" s="72" t="s">
        <v>387</v>
      </c>
      <c r="W323" s="73" t="s">
        <v>793</v>
      </c>
      <c r="AC323" s="574">
        <f>SUM(AC281,AC287,AC293,AC299,AC305,AC311,AC317)</f>
        <v>0</v>
      </c>
      <c r="AD323" s="73">
        <f t="shared" si="170"/>
        <v>0</v>
      </c>
      <c r="AE323" s="73">
        <f t="shared" si="170"/>
        <v>0</v>
      </c>
      <c r="AF323" s="73">
        <f t="shared" si="170"/>
        <v>0</v>
      </c>
      <c r="AG323" s="73">
        <f t="shared" si="170"/>
        <v>0</v>
      </c>
      <c r="AH323" s="73">
        <f t="shared" si="170"/>
        <v>0</v>
      </c>
      <c r="AI323" s="73">
        <f t="shared" si="170"/>
        <v>0</v>
      </c>
      <c r="AJ323" s="73">
        <f t="shared" si="170"/>
        <v>0</v>
      </c>
      <c r="AK323" s="73">
        <f t="shared" si="170"/>
        <v>0</v>
      </c>
      <c r="AL323" s="73">
        <f t="shared" si="170"/>
        <v>0</v>
      </c>
      <c r="AM323" s="73">
        <f t="shared" si="170"/>
        <v>0</v>
      </c>
      <c r="AN323" s="73">
        <f t="shared" si="170"/>
        <v>0</v>
      </c>
      <c r="AO323" s="73">
        <f t="shared" si="170"/>
        <v>0</v>
      </c>
      <c r="AP323" s="73">
        <f t="shared" si="170"/>
        <v>0</v>
      </c>
      <c r="AQ323" s="73">
        <f t="shared" si="170"/>
        <v>0</v>
      </c>
      <c r="AR323" s="73">
        <f t="shared" si="170"/>
        <v>0</v>
      </c>
      <c r="AS323" s="73">
        <f t="shared" si="170"/>
        <v>0</v>
      </c>
      <c r="AT323" s="73">
        <f t="shared" si="170"/>
        <v>0</v>
      </c>
      <c r="AU323" s="73">
        <f t="shared" si="170"/>
        <v>0</v>
      </c>
      <c r="AV323" s="73">
        <f t="shared" si="170"/>
        <v>10</v>
      </c>
      <c r="AW323" s="73">
        <f t="shared" si="170"/>
        <v>10</v>
      </c>
      <c r="AX323" s="73">
        <f t="shared" si="170"/>
        <v>0</v>
      </c>
      <c r="AY323" s="73">
        <f t="shared" si="170"/>
        <v>0</v>
      </c>
      <c r="AZ323" s="575">
        <f t="shared" si="170"/>
        <v>0</v>
      </c>
      <c r="BA323">
        <f t="shared" si="171"/>
        <v>20</v>
      </c>
    </row>
    <row r="324" spans="1:53">
      <c r="A324" s="73"/>
      <c r="B324" s="70"/>
      <c r="C324" s="73"/>
      <c r="D324" s="73" t="s">
        <v>966</v>
      </c>
      <c r="E324" s="73"/>
      <c r="F324" s="73"/>
      <c r="G324" s="73"/>
      <c r="H324" s="73">
        <f>H282+H288+H294+H300+H306+H312+H318</f>
        <v>0</v>
      </c>
      <c r="I324" s="73">
        <f>I282+I288+I294+I300+I306+I312+I318</f>
        <v>0</v>
      </c>
      <c r="J324" s="73">
        <f t="shared" si="172"/>
        <v>0</v>
      </c>
      <c r="K324" s="73">
        <f t="shared" si="172"/>
        <v>0</v>
      </c>
      <c r="L324" s="73">
        <f t="shared" si="172"/>
        <v>0</v>
      </c>
      <c r="M324" s="73">
        <f t="shared" si="172"/>
        <v>0</v>
      </c>
      <c r="N324" s="73">
        <f t="shared" si="172"/>
        <v>0</v>
      </c>
      <c r="O324" s="73">
        <f t="shared" si="172"/>
        <v>0</v>
      </c>
      <c r="P324" s="73">
        <f t="shared" si="172"/>
        <v>0</v>
      </c>
      <c r="Q324" s="73">
        <f t="shared" si="172"/>
        <v>0</v>
      </c>
      <c r="R324" s="73">
        <f t="shared" si="172"/>
        <v>0</v>
      </c>
      <c r="S324" s="73">
        <f t="shared" si="172"/>
        <v>0</v>
      </c>
      <c r="V324" s="72" t="s">
        <v>387</v>
      </c>
      <c r="W324" s="73" t="s">
        <v>966</v>
      </c>
      <c r="AC324" s="574">
        <f>SUM(AC282,AC288,AC294,AC300,AC306,AC312,AC318)</f>
        <v>0</v>
      </c>
      <c r="AD324" s="73">
        <f t="shared" si="170"/>
        <v>0</v>
      </c>
      <c r="AE324" s="73">
        <f t="shared" si="170"/>
        <v>0</v>
      </c>
      <c r="AF324" s="73">
        <f t="shared" si="170"/>
        <v>0</v>
      </c>
      <c r="AG324" s="73">
        <f t="shared" si="170"/>
        <v>0</v>
      </c>
      <c r="AH324" s="73">
        <f t="shared" si="170"/>
        <v>0</v>
      </c>
      <c r="AI324" s="73">
        <f t="shared" si="170"/>
        <v>0</v>
      </c>
      <c r="AJ324" s="73">
        <f t="shared" si="170"/>
        <v>0</v>
      </c>
      <c r="AK324" s="73">
        <f t="shared" si="170"/>
        <v>0</v>
      </c>
      <c r="AL324" s="73">
        <f t="shared" si="170"/>
        <v>0</v>
      </c>
      <c r="AM324" s="73">
        <f t="shared" si="170"/>
        <v>0</v>
      </c>
      <c r="AN324" s="73">
        <f t="shared" si="170"/>
        <v>0</v>
      </c>
      <c r="AO324" s="73">
        <f t="shared" si="170"/>
        <v>0</v>
      </c>
      <c r="AP324" s="73">
        <f t="shared" si="170"/>
        <v>0</v>
      </c>
      <c r="AQ324" s="73">
        <f t="shared" si="170"/>
        <v>0</v>
      </c>
      <c r="AR324" s="73">
        <f t="shared" si="170"/>
        <v>0</v>
      </c>
      <c r="AS324" s="73">
        <f t="shared" si="170"/>
        <v>0</v>
      </c>
      <c r="AT324" s="73">
        <f t="shared" si="170"/>
        <v>0</v>
      </c>
      <c r="AU324" s="73">
        <f t="shared" si="170"/>
        <v>0</v>
      </c>
      <c r="AV324" s="73">
        <f t="shared" si="170"/>
        <v>0</v>
      </c>
      <c r="AW324" s="73">
        <f t="shared" si="170"/>
        <v>0</v>
      </c>
      <c r="AX324" s="73">
        <f t="shared" si="170"/>
        <v>0</v>
      </c>
      <c r="AY324" s="73">
        <f t="shared" si="170"/>
        <v>0</v>
      </c>
      <c r="AZ324" s="575">
        <f t="shared" si="170"/>
        <v>0</v>
      </c>
      <c r="BA324">
        <f t="shared" si="171"/>
        <v>0</v>
      </c>
    </row>
    <row r="325" spans="1:53" ht="15.75" thickBot="1">
      <c r="A325" s="73"/>
      <c r="B325" s="70"/>
      <c r="C325" s="73"/>
      <c r="D325" s="73" t="s">
        <v>794</v>
      </c>
      <c r="E325" s="73"/>
      <c r="F325" s="73"/>
      <c r="G325" s="73"/>
      <c r="H325" s="73">
        <f>H322+H323+H324</f>
        <v>0</v>
      </c>
      <c r="I325" s="73">
        <f>I322+I323+I324</f>
        <v>0</v>
      </c>
      <c r="J325" s="73">
        <f t="shared" ref="J325:S325" si="173">J322+J323+J324</f>
        <v>146.49022522007547</v>
      </c>
      <c r="K325" s="73">
        <f t="shared" si="173"/>
        <v>274.04633969742008</v>
      </c>
      <c r="L325" s="73">
        <f t="shared" si="173"/>
        <v>146.49022522007547</v>
      </c>
      <c r="M325" s="73">
        <f t="shared" si="173"/>
        <v>193.82550207690258</v>
      </c>
      <c r="N325" s="73">
        <f t="shared" si="173"/>
        <v>88.760717960443586</v>
      </c>
      <c r="O325" s="73">
        <f t="shared" si="173"/>
        <v>24.913303608856371</v>
      </c>
      <c r="P325" s="73">
        <f t="shared" si="173"/>
        <v>32.885560763690407</v>
      </c>
      <c r="Q325" s="73">
        <f t="shared" si="173"/>
        <v>24.913303608856371</v>
      </c>
      <c r="R325" s="73">
        <f t="shared" si="173"/>
        <v>24.913303608856371</v>
      </c>
      <c r="S325" s="73">
        <f t="shared" si="173"/>
        <v>24.913303608856371</v>
      </c>
      <c r="T325" s="77">
        <f>SUM(H325:S325)</f>
        <v>982.15178537403301</v>
      </c>
      <c r="V325" s="72"/>
      <c r="W325" s="73" t="s">
        <v>794</v>
      </c>
      <c r="AC325" s="576">
        <f>SUM(AC283,AC289,AC295,AC301,AC307,AC313,AC319)</f>
        <v>0</v>
      </c>
      <c r="AD325" s="577">
        <f t="shared" si="170"/>
        <v>63.778057238672311</v>
      </c>
      <c r="AE325" s="577">
        <f t="shared" si="170"/>
        <v>112.60813231203079</v>
      </c>
      <c r="AF325" s="577">
        <f t="shared" si="170"/>
        <v>48.830075073358486</v>
      </c>
      <c r="AG325" s="577">
        <f t="shared" si="170"/>
        <v>52.816203650775506</v>
      </c>
      <c r="AH325" s="577">
        <f t="shared" si="170"/>
        <v>73.245112610037737</v>
      </c>
      <c r="AI325" s="577">
        <f t="shared" si="170"/>
        <v>73.245112610037737</v>
      </c>
      <c r="AJ325" s="577">
        <f t="shared" si="170"/>
        <v>109.1202698067909</v>
      </c>
      <c r="AK325" s="577">
        <f t="shared" si="170"/>
        <v>109.1202698067909</v>
      </c>
      <c r="AL325" s="577">
        <f t="shared" si="170"/>
        <v>65.023722419115131</v>
      </c>
      <c r="AM325" s="577">
        <f t="shared" si="170"/>
        <v>61.037593841698111</v>
      </c>
      <c r="AN325" s="577">
        <f t="shared" si="170"/>
        <v>12.456651804428185</v>
      </c>
      <c r="AO325" s="577">
        <f t="shared" si="170"/>
        <v>12.456651804428185</v>
      </c>
      <c r="AP325" s="577">
        <f t="shared" si="170"/>
        <v>12.456651804428185</v>
      </c>
      <c r="AQ325" s="577">
        <f t="shared" si="170"/>
        <v>12.456651804428185</v>
      </c>
      <c r="AR325" s="577">
        <f t="shared" si="170"/>
        <v>5.6470154846741112</v>
      </c>
      <c r="AS325" s="577">
        <f t="shared" si="170"/>
        <v>5.6470154846741112</v>
      </c>
      <c r="AT325" s="577">
        <f t="shared" si="170"/>
        <v>12.456651804428185</v>
      </c>
      <c r="AU325" s="577">
        <f t="shared" si="170"/>
        <v>12.456651804428185</v>
      </c>
      <c r="AV325" s="577">
        <f t="shared" si="170"/>
        <v>48.366487557638813</v>
      </c>
      <c r="AW325" s="577">
        <f t="shared" si="170"/>
        <v>48.366487557638813</v>
      </c>
      <c r="AX325" s="577">
        <f t="shared" si="170"/>
        <v>12.456651804428185</v>
      </c>
      <c r="AY325" s="577">
        <f t="shared" si="170"/>
        <v>12.456651804428185</v>
      </c>
      <c r="AZ325" s="578">
        <f t="shared" si="170"/>
        <v>5.6470154846741112</v>
      </c>
      <c r="BA325" s="16">
        <f t="shared" si="171"/>
        <v>982.15178537403256</v>
      </c>
    </row>
    <row r="326" spans="1:53">
      <c r="A326" s="73"/>
      <c r="B326" s="70"/>
      <c r="C326" s="73"/>
      <c r="D326" s="73"/>
      <c r="E326" s="73"/>
      <c r="F326" s="73"/>
      <c r="G326" s="73"/>
      <c r="H326" s="73"/>
      <c r="I326" s="73"/>
      <c r="J326" s="73"/>
      <c r="K326" s="73"/>
      <c r="L326" s="73"/>
      <c r="M326" s="73"/>
      <c r="N326" s="73"/>
      <c r="O326" s="73"/>
      <c r="P326" s="73"/>
      <c r="Q326" s="73"/>
      <c r="R326" s="73"/>
      <c r="S326" s="73"/>
      <c r="T326" s="79">
        <f>SUM(T283:T319)*1.1</f>
        <v>1080.3669639114362</v>
      </c>
    </row>
    <row r="327" spans="1:53" ht="33" customHeight="1" thickBot="1">
      <c r="W327" s="94" t="s">
        <v>1154</v>
      </c>
      <c r="X327" s="562" t="s">
        <v>1155</v>
      </c>
    </row>
    <row r="328" spans="1:53">
      <c r="A328" t="s">
        <v>1156</v>
      </c>
      <c r="C328" s="17"/>
      <c r="D328" t="s">
        <v>791</v>
      </c>
      <c r="P328">
        <v>1900</v>
      </c>
      <c r="U328" s="16">
        <v>720110</v>
      </c>
      <c r="V328" t="s">
        <v>1157</v>
      </c>
      <c r="W328" t="s">
        <v>791</v>
      </c>
      <c r="AC328" s="563"/>
      <c r="AD328" s="564"/>
      <c r="AE328" s="564"/>
      <c r="AF328" s="564"/>
      <c r="AG328" s="564"/>
      <c r="AH328" s="564"/>
      <c r="AI328" s="564"/>
      <c r="AJ328" s="564"/>
      <c r="AK328" s="564"/>
      <c r="AL328" s="564"/>
      <c r="AM328" s="564"/>
      <c r="AN328" s="564"/>
      <c r="AO328" s="568">
        <f>P328/3</f>
        <v>633.33333333333337</v>
      </c>
      <c r="AP328" s="568">
        <f>P328/3</f>
        <v>633.33333333333337</v>
      </c>
      <c r="AQ328" s="568">
        <f>P328/3</f>
        <v>633.33333333333337</v>
      </c>
      <c r="AR328" s="564"/>
      <c r="AS328" s="564"/>
      <c r="AT328" s="564"/>
      <c r="AU328" s="564"/>
      <c r="AV328" s="564"/>
      <c r="AW328" s="564"/>
      <c r="AX328" s="564"/>
      <c r="AY328" s="564"/>
      <c r="AZ328" s="274"/>
    </row>
    <row r="329" spans="1:53">
      <c r="A329" t="s">
        <v>1158</v>
      </c>
      <c r="D329" t="s">
        <v>1159</v>
      </c>
      <c r="H329">
        <f>H328*N30*0.001</f>
        <v>0</v>
      </c>
      <c r="I329">
        <f>I328*N30*0.001</f>
        <v>0</v>
      </c>
      <c r="J329">
        <f>J328*N30*0.001</f>
        <v>0</v>
      </c>
      <c r="K329">
        <f>K328*N30*0.001</f>
        <v>0</v>
      </c>
      <c r="L329">
        <f>L328*N30*0.001</f>
        <v>0</v>
      </c>
      <c r="M329">
        <f>M328*N30*0.001</f>
        <v>0</v>
      </c>
      <c r="N329">
        <f>N328*N30*0.001</f>
        <v>0</v>
      </c>
      <c r="O329">
        <f>O328*N30*0.001</f>
        <v>0</v>
      </c>
      <c r="P329">
        <f>P328*N30*0.001</f>
        <v>189.34110742730843</v>
      </c>
      <c r="Q329">
        <f>Q328*N30*0.001</f>
        <v>0</v>
      </c>
      <c r="R329">
        <f>R328*N30*0.001</f>
        <v>0</v>
      </c>
      <c r="S329">
        <f>S328*N30*0.001</f>
        <v>0</v>
      </c>
      <c r="U329" s="16">
        <v>720110</v>
      </c>
      <c r="V329" t="s">
        <v>1157</v>
      </c>
      <c r="W329" t="s">
        <v>792</v>
      </c>
      <c r="Y329" t="s">
        <v>434</v>
      </c>
      <c r="Z329" t="str">
        <f>VLOOKUP(Y329,'Price Table 8 OHB'!A:B,2,FALSE)</f>
        <v>Mission Operations</v>
      </c>
      <c r="AC329" s="565">
        <f>AC328*$N$30*0.001</f>
        <v>0</v>
      </c>
      <c r="AD329">
        <f t="shared" ref="AD329:AZ329" si="174">AD328*$N$30*0.001</f>
        <v>0</v>
      </c>
      <c r="AE329">
        <f t="shared" si="174"/>
        <v>0</v>
      </c>
      <c r="AF329">
        <f t="shared" si="174"/>
        <v>0</v>
      </c>
      <c r="AG329">
        <f t="shared" si="174"/>
        <v>0</v>
      </c>
      <c r="AH329">
        <f t="shared" si="174"/>
        <v>0</v>
      </c>
      <c r="AI329">
        <f t="shared" si="174"/>
        <v>0</v>
      </c>
      <c r="AJ329">
        <f t="shared" si="174"/>
        <v>0</v>
      </c>
      <c r="AK329">
        <f t="shared" si="174"/>
        <v>0</v>
      </c>
      <c r="AL329">
        <f t="shared" si="174"/>
        <v>0</v>
      </c>
      <c r="AM329">
        <f t="shared" si="174"/>
        <v>0</v>
      </c>
      <c r="AN329">
        <f t="shared" si="174"/>
        <v>0</v>
      </c>
      <c r="AO329">
        <f t="shared" si="174"/>
        <v>63.113702475769479</v>
      </c>
      <c r="AP329">
        <f t="shared" si="174"/>
        <v>63.113702475769479</v>
      </c>
      <c r="AQ329">
        <f t="shared" si="174"/>
        <v>63.113702475769479</v>
      </c>
      <c r="AR329">
        <f t="shared" si="174"/>
        <v>0</v>
      </c>
      <c r="AS329">
        <f t="shared" si="174"/>
        <v>0</v>
      </c>
      <c r="AT329">
        <f t="shared" si="174"/>
        <v>0</v>
      </c>
      <c r="AU329">
        <f t="shared" si="174"/>
        <v>0</v>
      </c>
      <c r="AV329">
        <f t="shared" si="174"/>
        <v>0</v>
      </c>
      <c r="AW329">
        <f t="shared" si="174"/>
        <v>0</v>
      </c>
      <c r="AX329">
        <f t="shared" si="174"/>
        <v>0</v>
      </c>
      <c r="AY329">
        <f t="shared" si="174"/>
        <v>0</v>
      </c>
      <c r="AZ329" s="275">
        <f t="shared" si="174"/>
        <v>0</v>
      </c>
    </row>
    <row r="330" spans="1:53">
      <c r="A330" t="s">
        <v>1160</v>
      </c>
      <c r="D330" t="s">
        <v>793</v>
      </c>
      <c r="U330" s="16">
        <v>720110</v>
      </c>
      <c r="V330" t="s">
        <v>1157</v>
      </c>
      <c r="W330" t="s">
        <v>793</v>
      </c>
      <c r="Y330" t="s">
        <v>434</v>
      </c>
      <c r="Z330" t="str">
        <f>VLOOKUP(Y330,'Price Table 8 OHB'!A:B,2,FALSE)</f>
        <v>Mission Operations</v>
      </c>
      <c r="AC330" s="565"/>
      <c r="AZ330" s="275"/>
    </row>
    <row r="331" spans="1:53">
      <c r="D331" t="s">
        <v>966</v>
      </c>
      <c r="U331" s="16">
        <v>720110</v>
      </c>
      <c r="V331" t="s">
        <v>1157</v>
      </c>
      <c r="W331" t="s">
        <v>966</v>
      </c>
      <c r="Y331" t="s">
        <v>434</v>
      </c>
      <c r="Z331" t="str">
        <f>VLOOKUP(Y331,'Price Table 8 OHB'!A:B,2,FALSE)</f>
        <v>Mission Operations</v>
      </c>
      <c r="AC331" s="565"/>
      <c r="AZ331" s="275"/>
    </row>
    <row r="332" spans="1:53" ht="15.75" thickBot="1">
      <c r="D332" t="s">
        <v>794</v>
      </c>
      <c r="H332">
        <f>H329+H330+H331</f>
        <v>0</v>
      </c>
      <c r="I332">
        <f>I329+I330+I331</f>
        <v>0</v>
      </c>
      <c r="J332">
        <f t="shared" ref="J332:S332" si="175">J329+J330+J331</f>
        <v>0</v>
      </c>
      <c r="K332">
        <f t="shared" si="175"/>
        <v>0</v>
      </c>
      <c r="L332">
        <f t="shared" si="175"/>
        <v>0</v>
      </c>
      <c r="M332">
        <f t="shared" si="175"/>
        <v>0</v>
      </c>
      <c r="N332">
        <f t="shared" si="175"/>
        <v>0</v>
      </c>
      <c r="O332">
        <f t="shared" si="175"/>
        <v>0</v>
      </c>
      <c r="P332">
        <f t="shared" si="175"/>
        <v>189.34110742730843</v>
      </c>
      <c r="Q332">
        <f t="shared" si="175"/>
        <v>0</v>
      </c>
      <c r="R332">
        <f t="shared" si="175"/>
        <v>0</v>
      </c>
      <c r="S332">
        <f t="shared" si="175"/>
        <v>0</v>
      </c>
      <c r="T332">
        <f>SUM(H332:S332)</f>
        <v>189.34110742730843</v>
      </c>
      <c r="U332" s="16"/>
      <c r="W332" t="s">
        <v>794</v>
      </c>
      <c r="AC332" s="567">
        <f>SUM(AC329:AC331)</f>
        <v>0</v>
      </c>
      <c r="AD332" s="265">
        <f t="shared" ref="AD332:AZ332" si="176">SUM(AD329:AD331)</f>
        <v>0</v>
      </c>
      <c r="AE332" s="265">
        <f t="shared" si="176"/>
        <v>0</v>
      </c>
      <c r="AF332" s="265">
        <f t="shared" si="176"/>
        <v>0</v>
      </c>
      <c r="AG332" s="265">
        <f t="shared" si="176"/>
        <v>0</v>
      </c>
      <c r="AH332" s="265">
        <f t="shared" si="176"/>
        <v>0</v>
      </c>
      <c r="AI332" s="265">
        <f t="shared" si="176"/>
        <v>0</v>
      </c>
      <c r="AJ332" s="265">
        <f t="shared" si="176"/>
        <v>0</v>
      </c>
      <c r="AK332" s="265">
        <f t="shared" si="176"/>
        <v>0</v>
      </c>
      <c r="AL332" s="265">
        <f t="shared" si="176"/>
        <v>0</v>
      </c>
      <c r="AM332" s="265">
        <f t="shared" si="176"/>
        <v>0</v>
      </c>
      <c r="AN332" s="265">
        <f t="shared" si="176"/>
        <v>0</v>
      </c>
      <c r="AO332" s="265">
        <f t="shared" si="176"/>
        <v>63.113702475769479</v>
      </c>
      <c r="AP332" s="265">
        <f t="shared" si="176"/>
        <v>63.113702475769479</v>
      </c>
      <c r="AQ332" s="265">
        <f t="shared" si="176"/>
        <v>63.113702475769479</v>
      </c>
      <c r="AR332" s="265">
        <f t="shared" si="176"/>
        <v>0</v>
      </c>
      <c r="AS332" s="265">
        <f t="shared" si="176"/>
        <v>0</v>
      </c>
      <c r="AT332" s="265">
        <f t="shared" si="176"/>
        <v>0</v>
      </c>
      <c r="AU332" s="265">
        <f t="shared" si="176"/>
        <v>0</v>
      </c>
      <c r="AV332" s="265">
        <f t="shared" si="176"/>
        <v>0</v>
      </c>
      <c r="AW332" s="265">
        <f t="shared" si="176"/>
        <v>0</v>
      </c>
      <c r="AX332" s="265">
        <f t="shared" si="176"/>
        <v>0</v>
      </c>
      <c r="AY332" s="265">
        <f t="shared" si="176"/>
        <v>0</v>
      </c>
      <c r="AZ332" s="276">
        <f t="shared" si="176"/>
        <v>0</v>
      </c>
      <c r="BA332" s="16">
        <f>SUM(AC332:AZ332)</f>
        <v>189.34110742730843</v>
      </c>
    </row>
    <row r="333" spans="1:53" ht="33" customHeight="1" thickBot="1">
      <c r="A333" s="90"/>
      <c r="B333" s="91"/>
      <c r="C333" s="90"/>
      <c r="D333" s="90"/>
      <c r="E333" s="90"/>
      <c r="F333" s="90"/>
      <c r="G333" s="90"/>
      <c r="H333" s="90"/>
      <c r="I333" s="90"/>
      <c r="J333" s="90"/>
      <c r="K333" s="90"/>
      <c r="L333" s="90"/>
      <c r="M333" s="90"/>
      <c r="N333" s="90"/>
      <c r="O333" s="90"/>
      <c r="P333" s="90"/>
      <c r="Q333" s="90"/>
      <c r="R333" s="90"/>
      <c r="S333" s="90"/>
      <c r="W333" s="94" t="s">
        <v>1154</v>
      </c>
      <c r="X333" s="562" t="s">
        <v>1155</v>
      </c>
    </row>
    <row r="334" spans="1:53">
      <c r="A334" t="s">
        <v>1161</v>
      </c>
      <c r="C334" s="17"/>
      <c r="D334" t="s">
        <v>791</v>
      </c>
      <c r="Q334">
        <v>3280</v>
      </c>
      <c r="R334">
        <v>3280</v>
      </c>
      <c r="S334">
        <v>3280</v>
      </c>
      <c r="U334">
        <v>740000</v>
      </c>
      <c r="V334" t="s">
        <v>1162</v>
      </c>
      <c r="W334" t="s">
        <v>791</v>
      </c>
      <c r="AC334" s="563"/>
      <c r="AD334" s="564"/>
      <c r="AE334" s="564"/>
      <c r="AF334" s="564"/>
      <c r="AG334" s="564"/>
      <c r="AH334" s="564"/>
      <c r="AI334" s="564"/>
      <c r="AJ334" s="564"/>
      <c r="AK334" s="564"/>
      <c r="AL334" s="564"/>
      <c r="AM334" s="564"/>
      <c r="AN334" s="564"/>
      <c r="AO334" s="564"/>
      <c r="AP334" s="564"/>
      <c r="AQ334" s="564"/>
      <c r="AR334" s="564"/>
      <c r="AS334" s="564"/>
      <c r="AT334" s="564"/>
      <c r="AU334" s="564"/>
      <c r="AV334" s="564"/>
      <c r="AW334" s="564"/>
      <c r="AX334" s="568">
        <f>Q334</f>
        <v>3280</v>
      </c>
      <c r="AY334" s="568">
        <f>R334</f>
        <v>3280</v>
      </c>
      <c r="AZ334" s="569">
        <f>S334</f>
        <v>3280</v>
      </c>
    </row>
    <row r="335" spans="1:53">
      <c r="A335" t="s">
        <v>1162</v>
      </c>
      <c r="D335" t="s">
        <v>792</v>
      </c>
      <c r="H335">
        <f>H334*N30*0.001</f>
        <v>0</v>
      </c>
      <c r="I335">
        <f>I334*N30*0.001</f>
        <v>0</v>
      </c>
      <c r="J335">
        <f>J334*N30*0.001</f>
        <v>0</v>
      </c>
      <c r="K335">
        <f>K334*N30*0.001</f>
        <v>0</v>
      </c>
      <c r="L335">
        <f>L334*N30*0.001</f>
        <v>0</v>
      </c>
      <c r="M335">
        <f>M334*N30*0.001</f>
        <v>0</v>
      </c>
      <c r="N335">
        <f>N334*N30*0.001</f>
        <v>0</v>
      </c>
      <c r="O335">
        <f>O334*N30*0.001</f>
        <v>0</v>
      </c>
      <c r="P335">
        <f>P334*N30*0.001</f>
        <v>0</v>
      </c>
      <c r="Q335">
        <f>Q334*N30*0.001</f>
        <v>326.86254334819557</v>
      </c>
      <c r="R335">
        <f>R334*N30*0.001</f>
        <v>326.86254334819557</v>
      </c>
      <c r="S335">
        <f>S334*N30*0.001</f>
        <v>326.86254334819557</v>
      </c>
      <c r="U335">
        <v>740000</v>
      </c>
      <c r="V335" t="s">
        <v>1162</v>
      </c>
      <c r="W335" t="s">
        <v>792</v>
      </c>
      <c r="Y335" t="s">
        <v>434</v>
      </c>
      <c r="Z335" t="str">
        <f>VLOOKUP(Y335,'Price Table 8 OHB'!A:B,2,FALSE)</f>
        <v>Mission Operations</v>
      </c>
      <c r="AC335" s="565">
        <f>AC334*$N$30*0.001</f>
        <v>0</v>
      </c>
      <c r="AD335">
        <f t="shared" ref="AD335" si="177">AD334*$N$30*0.001</f>
        <v>0</v>
      </c>
      <c r="AE335">
        <f>AE334*$N$30*0.001</f>
        <v>0</v>
      </c>
      <c r="AF335">
        <f t="shared" ref="AF335:AZ335" si="178">AF334*$N$30*0.001</f>
        <v>0</v>
      </c>
      <c r="AG335">
        <f t="shared" si="178"/>
        <v>0</v>
      </c>
      <c r="AH335">
        <f t="shared" si="178"/>
        <v>0</v>
      </c>
      <c r="AI335">
        <f t="shared" si="178"/>
        <v>0</v>
      </c>
      <c r="AJ335">
        <f t="shared" si="178"/>
        <v>0</v>
      </c>
      <c r="AK335">
        <f t="shared" si="178"/>
        <v>0</v>
      </c>
      <c r="AL335">
        <f t="shared" si="178"/>
        <v>0</v>
      </c>
      <c r="AM335">
        <f t="shared" si="178"/>
        <v>0</v>
      </c>
      <c r="AN335">
        <f t="shared" si="178"/>
        <v>0</v>
      </c>
      <c r="AO335">
        <f t="shared" si="178"/>
        <v>0</v>
      </c>
      <c r="AP335">
        <f t="shared" si="178"/>
        <v>0</v>
      </c>
      <c r="AQ335">
        <f t="shared" si="178"/>
        <v>0</v>
      </c>
      <c r="AR335">
        <f t="shared" si="178"/>
        <v>0</v>
      </c>
      <c r="AS335">
        <f t="shared" si="178"/>
        <v>0</v>
      </c>
      <c r="AT335">
        <f t="shared" si="178"/>
        <v>0</v>
      </c>
      <c r="AU335">
        <f t="shared" si="178"/>
        <v>0</v>
      </c>
      <c r="AV335">
        <f t="shared" si="178"/>
        <v>0</v>
      </c>
      <c r="AW335">
        <f t="shared" si="178"/>
        <v>0</v>
      </c>
      <c r="AX335">
        <f t="shared" si="178"/>
        <v>326.86254334819557</v>
      </c>
      <c r="AY335">
        <f t="shared" si="178"/>
        <v>326.86254334819557</v>
      </c>
      <c r="AZ335" s="275">
        <f t="shared" si="178"/>
        <v>326.86254334819557</v>
      </c>
    </row>
    <row r="336" spans="1:53">
      <c r="A336" s="92"/>
      <c r="D336" t="s">
        <v>793</v>
      </c>
      <c r="U336">
        <v>740000</v>
      </c>
      <c r="V336" t="s">
        <v>1162</v>
      </c>
      <c r="W336" t="s">
        <v>793</v>
      </c>
      <c r="Y336" t="s">
        <v>434</v>
      </c>
      <c r="Z336" t="str">
        <f>VLOOKUP(Y336,'Price Table 8 OHB'!A:B,2,FALSE)</f>
        <v>Mission Operations</v>
      </c>
      <c r="AC336" s="565"/>
      <c r="AZ336" s="275"/>
    </row>
    <row r="337" spans="1:62">
      <c r="D337" t="s">
        <v>966</v>
      </c>
      <c r="Q337">
        <v>10</v>
      </c>
      <c r="R337">
        <v>10</v>
      </c>
      <c r="S337">
        <v>10</v>
      </c>
      <c r="U337">
        <v>740000</v>
      </c>
      <c r="V337" t="s">
        <v>1162</v>
      </c>
      <c r="W337" t="s">
        <v>966</v>
      </c>
      <c r="Y337" t="s">
        <v>434</v>
      </c>
      <c r="Z337" t="str">
        <f>VLOOKUP(Y337,'Price Table 8 OHB'!A:B,2,FALSE)</f>
        <v>Mission Operations</v>
      </c>
      <c r="AC337" s="565"/>
      <c r="AX337">
        <f>Q337</f>
        <v>10</v>
      </c>
      <c r="AY337">
        <f>R337</f>
        <v>10</v>
      </c>
      <c r="AZ337" s="275">
        <f>S337</f>
        <v>10</v>
      </c>
    </row>
    <row r="338" spans="1:62" ht="15.75" thickBot="1">
      <c r="D338" t="s">
        <v>794</v>
      </c>
      <c r="K338">
        <f t="shared" ref="K338:S338" si="179">K335+K336+K337</f>
        <v>0</v>
      </c>
      <c r="L338">
        <f t="shared" si="179"/>
        <v>0</v>
      </c>
      <c r="M338">
        <f t="shared" si="179"/>
        <v>0</v>
      </c>
      <c r="N338">
        <f t="shared" si="179"/>
        <v>0</v>
      </c>
      <c r="O338">
        <f t="shared" si="179"/>
        <v>0</v>
      </c>
      <c r="P338">
        <f t="shared" si="179"/>
        <v>0</v>
      </c>
      <c r="Q338">
        <f t="shared" si="179"/>
        <v>336.86254334819557</v>
      </c>
      <c r="R338">
        <f t="shared" si="179"/>
        <v>336.86254334819557</v>
      </c>
      <c r="S338">
        <f t="shared" si="179"/>
        <v>336.86254334819557</v>
      </c>
      <c r="T338">
        <f>SUM(H338:S338)</f>
        <v>1010.5876300445867</v>
      </c>
      <c r="W338" t="s">
        <v>794</v>
      </c>
      <c r="AC338" s="567">
        <f>SUM(AC335:AC337)</f>
        <v>0</v>
      </c>
      <c r="AD338" s="265">
        <f t="shared" ref="AD338:AZ338" si="180">SUM(AD335:AD337)</f>
        <v>0</v>
      </c>
      <c r="AE338" s="265">
        <f t="shared" si="180"/>
        <v>0</v>
      </c>
      <c r="AF338" s="265">
        <f t="shared" si="180"/>
        <v>0</v>
      </c>
      <c r="AG338" s="265">
        <f t="shared" si="180"/>
        <v>0</v>
      </c>
      <c r="AH338" s="265">
        <f t="shared" si="180"/>
        <v>0</v>
      </c>
      <c r="AI338" s="265">
        <f t="shared" si="180"/>
        <v>0</v>
      </c>
      <c r="AJ338" s="265">
        <f t="shared" si="180"/>
        <v>0</v>
      </c>
      <c r="AK338" s="265">
        <f t="shared" si="180"/>
        <v>0</v>
      </c>
      <c r="AL338" s="265">
        <f t="shared" si="180"/>
        <v>0</v>
      </c>
      <c r="AM338" s="265">
        <f t="shared" si="180"/>
        <v>0</v>
      </c>
      <c r="AN338" s="265">
        <f t="shared" si="180"/>
        <v>0</v>
      </c>
      <c r="AO338" s="265">
        <f t="shared" si="180"/>
        <v>0</v>
      </c>
      <c r="AP338" s="265">
        <f t="shared" si="180"/>
        <v>0</v>
      </c>
      <c r="AQ338" s="265">
        <f t="shared" si="180"/>
        <v>0</v>
      </c>
      <c r="AR338" s="265">
        <f t="shared" si="180"/>
        <v>0</v>
      </c>
      <c r="AS338" s="265">
        <f t="shared" si="180"/>
        <v>0</v>
      </c>
      <c r="AT338" s="265">
        <f t="shared" si="180"/>
        <v>0</v>
      </c>
      <c r="AU338" s="265">
        <f t="shared" si="180"/>
        <v>0</v>
      </c>
      <c r="AV338" s="265">
        <f t="shared" si="180"/>
        <v>0</v>
      </c>
      <c r="AW338" s="265">
        <f t="shared" si="180"/>
        <v>0</v>
      </c>
      <c r="AX338" s="265">
        <f t="shared" si="180"/>
        <v>336.86254334819557</v>
      </c>
      <c r="AY338" s="265">
        <f t="shared" si="180"/>
        <v>336.86254334819557</v>
      </c>
      <c r="AZ338" s="276">
        <f t="shared" si="180"/>
        <v>336.86254334819557</v>
      </c>
      <c r="BA338" s="16">
        <f>SUM(AC338:AZ338)</f>
        <v>1010.5876300445867</v>
      </c>
    </row>
    <row r="339" spans="1:62" ht="15.75" thickBot="1">
      <c r="A339" s="73"/>
      <c r="B339" s="70"/>
      <c r="C339" s="73"/>
      <c r="D339" s="73"/>
      <c r="E339" s="73"/>
      <c r="F339" s="73"/>
      <c r="G339" s="73"/>
      <c r="H339" s="73"/>
      <c r="I339" s="73"/>
      <c r="J339" s="73"/>
      <c r="K339" s="73"/>
      <c r="L339" s="73"/>
      <c r="M339" s="73"/>
      <c r="N339" s="73"/>
      <c r="O339" s="73"/>
      <c r="P339" s="73"/>
      <c r="Q339" s="73"/>
      <c r="R339" s="73"/>
      <c r="S339" s="73"/>
      <c r="W339" s="72" t="s">
        <v>1162</v>
      </c>
    </row>
    <row r="340" spans="1:62">
      <c r="A340" s="73" t="s">
        <v>1162</v>
      </c>
      <c r="B340" s="70"/>
      <c r="C340" s="73"/>
      <c r="D340" s="73" t="s">
        <v>791</v>
      </c>
      <c r="E340" s="73"/>
      <c r="F340" s="73"/>
      <c r="G340" s="73"/>
      <c r="H340" s="73">
        <f>H334+H328</f>
        <v>0</v>
      </c>
      <c r="I340" s="73">
        <f>I328+I334</f>
        <v>0</v>
      </c>
      <c r="J340" s="73">
        <f t="shared" ref="J340:S340" si="181">J328+J334</f>
        <v>0</v>
      </c>
      <c r="K340" s="73">
        <f t="shared" si="181"/>
        <v>0</v>
      </c>
      <c r="L340" s="73">
        <f t="shared" si="181"/>
        <v>0</v>
      </c>
      <c r="M340" s="73">
        <f t="shared" si="181"/>
        <v>0</v>
      </c>
      <c r="N340" s="73">
        <f t="shared" si="181"/>
        <v>0</v>
      </c>
      <c r="O340" s="73">
        <f t="shared" si="181"/>
        <v>0</v>
      </c>
      <c r="P340" s="73">
        <f t="shared" si="181"/>
        <v>1900</v>
      </c>
      <c r="Q340" s="73">
        <f t="shared" si="181"/>
        <v>3280</v>
      </c>
      <c r="R340" s="73">
        <f t="shared" si="181"/>
        <v>3280</v>
      </c>
      <c r="S340" s="73">
        <f t="shared" si="181"/>
        <v>3280</v>
      </c>
      <c r="V340" s="72" t="s">
        <v>1162</v>
      </c>
      <c r="W340" s="73" t="s">
        <v>791</v>
      </c>
      <c r="AC340" s="571">
        <f>SUM(AC328,AC334)</f>
        <v>0</v>
      </c>
      <c r="AD340" s="572">
        <f t="shared" ref="AD340:AZ340" si="182">SUM(AD328,AD334)</f>
        <v>0</v>
      </c>
      <c r="AE340" s="572">
        <f t="shared" si="182"/>
        <v>0</v>
      </c>
      <c r="AF340" s="572">
        <f t="shared" si="182"/>
        <v>0</v>
      </c>
      <c r="AG340" s="572">
        <f t="shared" si="182"/>
        <v>0</v>
      </c>
      <c r="AH340" s="572">
        <f t="shared" si="182"/>
        <v>0</v>
      </c>
      <c r="AI340" s="572">
        <f t="shared" si="182"/>
        <v>0</v>
      </c>
      <c r="AJ340" s="572">
        <f t="shared" si="182"/>
        <v>0</v>
      </c>
      <c r="AK340" s="572">
        <f t="shared" si="182"/>
        <v>0</v>
      </c>
      <c r="AL340" s="572">
        <f t="shared" si="182"/>
        <v>0</v>
      </c>
      <c r="AM340" s="572">
        <f t="shared" si="182"/>
        <v>0</v>
      </c>
      <c r="AN340" s="572">
        <f t="shared" si="182"/>
        <v>0</v>
      </c>
      <c r="AO340" s="572">
        <f t="shared" si="182"/>
        <v>633.33333333333337</v>
      </c>
      <c r="AP340" s="572">
        <f t="shared" si="182"/>
        <v>633.33333333333337</v>
      </c>
      <c r="AQ340" s="572">
        <f t="shared" si="182"/>
        <v>633.33333333333337</v>
      </c>
      <c r="AR340" s="572">
        <f t="shared" si="182"/>
        <v>0</v>
      </c>
      <c r="AS340" s="572">
        <f t="shared" si="182"/>
        <v>0</v>
      </c>
      <c r="AT340" s="572">
        <f t="shared" si="182"/>
        <v>0</v>
      </c>
      <c r="AU340" s="572">
        <f t="shared" si="182"/>
        <v>0</v>
      </c>
      <c r="AV340" s="572">
        <f t="shared" si="182"/>
        <v>0</v>
      </c>
      <c r="AW340" s="572">
        <f t="shared" si="182"/>
        <v>0</v>
      </c>
      <c r="AX340" s="572">
        <f t="shared" si="182"/>
        <v>3280</v>
      </c>
      <c r="AY340" s="572">
        <f t="shared" si="182"/>
        <v>3280</v>
      </c>
      <c r="AZ340" s="573">
        <f t="shared" si="182"/>
        <v>3280</v>
      </c>
      <c r="BA340">
        <f t="shared" ref="BA340:BA343" si="183">SUM(AC340:AZ340)</f>
        <v>11740</v>
      </c>
    </row>
    <row r="341" spans="1:62">
      <c r="A341" s="73"/>
      <c r="B341" s="70"/>
      <c r="C341" s="73"/>
      <c r="D341" s="73" t="s">
        <v>792</v>
      </c>
      <c r="E341" s="73"/>
      <c r="F341" s="73"/>
      <c r="G341" s="73"/>
      <c r="H341" s="73">
        <f>H340*N30*0.001</f>
        <v>0</v>
      </c>
      <c r="I341" s="73">
        <f>I340*N30*0.001</f>
        <v>0</v>
      </c>
      <c r="J341" s="73">
        <f>J340*N30*0.001</f>
        <v>0</v>
      </c>
      <c r="K341" s="73">
        <f>K340*N30*0.001</f>
        <v>0</v>
      </c>
      <c r="L341" s="73">
        <f>L340*N30*0.001</f>
        <v>0</v>
      </c>
      <c r="M341" s="73">
        <f>M340*N30*0.001</f>
        <v>0</v>
      </c>
      <c r="N341" s="73">
        <f>N340*N30*0.001</f>
        <v>0</v>
      </c>
      <c r="O341" s="73">
        <f>O340*N30*0.001</f>
        <v>0</v>
      </c>
      <c r="P341" s="73">
        <f>P340*N30*0.001</f>
        <v>189.34110742730843</v>
      </c>
      <c r="Q341" s="73">
        <f>Q340*N30*0.001</f>
        <v>326.86254334819557</v>
      </c>
      <c r="R341" s="73">
        <f>R340*N30*0.001</f>
        <v>326.86254334819557</v>
      </c>
      <c r="S341" s="73">
        <f>S340*N30*0.001</f>
        <v>326.86254334819557</v>
      </c>
      <c r="V341" s="72" t="s">
        <v>1162</v>
      </c>
      <c r="W341" s="73" t="s">
        <v>792</v>
      </c>
      <c r="AC341" s="574">
        <f t="shared" ref="AC341:AZ344" si="184">SUM(AC329,AC335)</f>
        <v>0</v>
      </c>
      <c r="AD341" s="73">
        <f t="shared" si="184"/>
        <v>0</v>
      </c>
      <c r="AE341" s="73">
        <f t="shared" si="184"/>
        <v>0</v>
      </c>
      <c r="AF341" s="73">
        <f t="shared" si="184"/>
        <v>0</v>
      </c>
      <c r="AG341" s="73">
        <f t="shared" si="184"/>
        <v>0</v>
      </c>
      <c r="AH341" s="73">
        <f t="shared" si="184"/>
        <v>0</v>
      </c>
      <c r="AI341" s="73">
        <f t="shared" si="184"/>
        <v>0</v>
      </c>
      <c r="AJ341" s="73">
        <f t="shared" si="184"/>
        <v>0</v>
      </c>
      <c r="AK341" s="73">
        <f t="shared" si="184"/>
        <v>0</v>
      </c>
      <c r="AL341" s="73">
        <f t="shared" si="184"/>
        <v>0</v>
      </c>
      <c r="AM341" s="73">
        <f t="shared" si="184"/>
        <v>0</v>
      </c>
      <c r="AN341" s="73">
        <f t="shared" si="184"/>
        <v>0</v>
      </c>
      <c r="AO341" s="73">
        <f t="shared" si="184"/>
        <v>63.113702475769479</v>
      </c>
      <c r="AP341" s="73">
        <f t="shared" si="184"/>
        <v>63.113702475769479</v>
      </c>
      <c r="AQ341" s="73">
        <f t="shared" si="184"/>
        <v>63.113702475769479</v>
      </c>
      <c r="AR341" s="73">
        <f t="shared" si="184"/>
        <v>0</v>
      </c>
      <c r="AS341" s="73">
        <f t="shared" si="184"/>
        <v>0</v>
      </c>
      <c r="AT341" s="73">
        <f t="shared" si="184"/>
        <v>0</v>
      </c>
      <c r="AU341" s="73">
        <f t="shared" si="184"/>
        <v>0</v>
      </c>
      <c r="AV341" s="73">
        <f t="shared" si="184"/>
        <v>0</v>
      </c>
      <c r="AW341" s="73">
        <f t="shared" si="184"/>
        <v>0</v>
      </c>
      <c r="AX341" s="73">
        <f t="shared" si="184"/>
        <v>326.86254334819557</v>
      </c>
      <c r="AY341" s="73">
        <f t="shared" si="184"/>
        <v>326.86254334819557</v>
      </c>
      <c r="AZ341" s="575">
        <f t="shared" si="184"/>
        <v>326.86254334819557</v>
      </c>
      <c r="BA341">
        <f t="shared" si="183"/>
        <v>1169.9287374718951</v>
      </c>
    </row>
    <row r="342" spans="1:62">
      <c r="A342" s="73"/>
      <c r="B342" s="70"/>
      <c r="C342" s="73"/>
      <c r="D342" s="73" t="s">
        <v>793</v>
      </c>
      <c r="E342" s="73"/>
      <c r="F342" s="73"/>
      <c r="G342" s="73"/>
      <c r="H342" s="73">
        <f>H330+H336</f>
        <v>0</v>
      </c>
      <c r="I342" s="73">
        <f>I330+I336</f>
        <v>0</v>
      </c>
      <c r="J342" s="73">
        <f t="shared" ref="J342:S343" si="185">J330+J336</f>
        <v>0</v>
      </c>
      <c r="K342" s="73">
        <f t="shared" si="185"/>
        <v>0</v>
      </c>
      <c r="L342" s="73">
        <f t="shared" si="185"/>
        <v>0</v>
      </c>
      <c r="M342" s="73">
        <f t="shared" si="185"/>
        <v>0</v>
      </c>
      <c r="N342" s="73">
        <f t="shared" si="185"/>
        <v>0</v>
      </c>
      <c r="O342" s="73">
        <f t="shared" si="185"/>
        <v>0</v>
      </c>
      <c r="P342" s="73">
        <f t="shared" si="185"/>
        <v>0</v>
      </c>
      <c r="Q342" s="73">
        <f t="shared" si="185"/>
        <v>0</v>
      </c>
      <c r="R342" s="73">
        <f t="shared" si="185"/>
        <v>0</v>
      </c>
      <c r="S342" s="73">
        <f t="shared" si="185"/>
        <v>0</v>
      </c>
      <c r="V342" s="72" t="s">
        <v>1162</v>
      </c>
      <c r="W342" s="73" t="s">
        <v>793</v>
      </c>
      <c r="AC342" s="574">
        <f t="shared" si="184"/>
        <v>0</v>
      </c>
      <c r="AD342" s="73">
        <f t="shared" si="184"/>
        <v>0</v>
      </c>
      <c r="AE342" s="73">
        <f t="shared" si="184"/>
        <v>0</v>
      </c>
      <c r="AF342" s="73">
        <f t="shared" si="184"/>
        <v>0</v>
      </c>
      <c r="AG342" s="73">
        <f t="shared" si="184"/>
        <v>0</v>
      </c>
      <c r="AH342" s="73">
        <f t="shared" si="184"/>
        <v>0</v>
      </c>
      <c r="AI342" s="73">
        <f t="shared" si="184"/>
        <v>0</v>
      </c>
      <c r="AJ342" s="73">
        <f t="shared" si="184"/>
        <v>0</v>
      </c>
      <c r="AK342" s="73">
        <f t="shared" si="184"/>
        <v>0</v>
      </c>
      <c r="AL342" s="73">
        <f t="shared" si="184"/>
        <v>0</v>
      </c>
      <c r="AM342" s="73">
        <f t="shared" si="184"/>
        <v>0</v>
      </c>
      <c r="AN342" s="73">
        <f t="shared" si="184"/>
        <v>0</v>
      </c>
      <c r="AO342" s="73">
        <f t="shared" si="184"/>
        <v>0</v>
      </c>
      <c r="AP342" s="73">
        <f t="shared" si="184"/>
        <v>0</v>
      </c>
      <c r="AQ342" s="73">
        <f t="shared" si="184"/>
        <v>0</v>
      </c>
      <c r="AR342" s="73">
        <f t="shared" si="184"/>
        <v>0</v>
      </c>
      <c r="AS342" s="73">
        <f t="shared" si="184"/>
        <v>0</v>
      </c>
      <c r="AT342" s="73">
        <f t="shared" si="184"/>
        <v>0</v>
      </c>
      <c r="AU342" s="73">
        <f t="shared" si="184"/>
        <v>0</v>
      </c>
      <c r="AV342" s="73">
        <f t="shared" si="184"/>
        <v>0</v>
      </c>
      <c r="AW342" s="73">
        <f t="shared" si="184"/>
        <v>0</v>
      </c>
      <c r="AX342" s="73">
        <f t="shared" si="184"/>
        <v>0</v>
      </c>
      <c r="AY342" s="73">
        <f t="shared" si="184"/>
        <v>0</v>
      </c>
      <c r="AZ342" s="575">
        <f t="shared" si="184"/>
        <v>0</v>
      </c>
      <c r="BA342">
        <f t="shared" si="183"/>
        <v>0</v>
      </c>
    </row>
    <row r="343" spans="1:62">
      <c r="A343" s="73"/>
      <c r="B343" s="70"/>
      <c r="C343" s="73"/>
      <c r="D343" s="73" t="s">
        <v>966</v>
      </c>
      <c r="E343" s="73"/>
      <c r="F343" s="73"/>
      <c r="G343" s="73"/>
      <c r="H343" s="73">
        <f>H331+H337</f>
        <v>0</v>
      </c>
      <c r="I343" s="73">
        <f>I331+I337</f>
        <v>0</v>
      </c>
      <c r="J343" s="73">
        <f t="shared" si="185"/>
        <v>0</v>
      </c>
      <c r="K343" s="73">
        <f t="shared" si="185"/>
        <v>0</v>
      </c>
      <c r="L343" s="73">
        <f t="shared" si="185"/>
        <v>0</v>
      </c>
      <c r="M343" s="73">
        <f t="shared" si="185"/>
        <v>0</v>
      </c>
      <c r="N343" s="73">
        <f t="shared" si="185"/>
        <v>0</v>
      </c>
      <c r="O343" s="73">
        <f t="shared" si="185"/>
        <v>0</v>
      </c>
      <c r="P343" s="73">
        <f t="shared" si="185"/>
        <v>0</v>
      </c>
      <c r="Q343" s="73">
        <f t="shared" si="185"/>
        <v>10</v>
      </c>
      <c r="R343" s="73">
        <f t="shared" si="185"/>
        <v>10</v>
      </c>
      <c r="S343" s="73">
        <f t="shared" si="185"/>
        <v>10</v>
      </c>
      <c r="V343" s="72" t="s">
        <v>1162</v>
      </c>
      <c r="W343" s="73" t="s">
        <v>966</v>
      </c>
      <c r="AC343" s="574">
        <f t="shared" si="184"/>
        <v>0</v>
      </c>
      <c r="AD343" s="73">
        <f t="shared" si="184"/>
        <v>0</v>
      </c>
      <c r="AE343" s="73">
        <f t="shared" si="184"/>
        <v>0</v>
      </c>
      <c r="AF343" s="73">
        <f t="shared" si="184"/>
        <v>0</v>
      </c>
      <c r="AG343" s="73">
        <f t="shared" si="184"/>
        <v>0</v>
      </c>
      <c r="AH343" s="73">
        <f t="shared" si="184"/>
        <v>0</v>
      </c>
      <c r="AI343" s="73">
        <f t="shared" si="184"/>
        <v>0</v>
      </c>
      <c r="AJ343" s="73">
        <f t="shared" si="184"/>
        <v>0</v>
      </c>
      <c r="AK343" s="73">
        <f t="shared" si="184"/>
        <v>0</v>
      </c>
      <c r="AL343" s="73">
        <f t="shared" si="184"/>
        <v>0</v>
      </c>
      <c r="AM343" s="73">
        <f t="shared" si="184"/>
        <v>0</v>
      </c>
      <c r="AN343" s="73">
        <f t="shared" si="184"/>
        <v>0</v>
      </c>
      <c r="AO343" s="73">
        <f t="shared" si="184"/>
        <v>0</v>
      </c>
      <c r="AP343" s="73">
        <f t="shared" si="184"/>
        <v>0</v>
      </c>
      <c r="AQ343" s="73">
        <f t="shared" si="184"/>
        <v>0</v>
      </c>
      <c r="AR343" s="73">
        <f t="shared" si="184"/>
        <v>0</v>
      </c>
      <c r="AS343" s="73">
        <f t="shared" si="184"/>
        <v>0</v>
      </c>
      <c r="AT343" s="73">
        <f t="shared" si="184"/>
        <v>0</v>
      </c>
      <c r="AU343" s="73">
        <f t="shared" si="184"/>
        <v>0</v>
      </c>
      <c r="AV343" s="73">
        <f t="shared" si="184"/>
        <v>0</v>
      </c>
      <c r="AW343" s="73">
        <f t="shared" si="184"/>
        <v>0</v>
      </c>
      <c r="AX343" s="73">
        <f t="shared" si="184"/>
        <v>10</v>
      </c>
      <c r="AY343" s="73">
        <f t="shared" si="184"/>
        <v>10</v>
      </c>
      <c r="AZ343" s="575">
        <f t="shared" si="184"/>
        <v>10</v>
      </c>
      <c r="BA343">
        <f t="shared" si="183"/>
        <v>30</v>
      </c>
    </row>
    <row r="344" spans="1:62" ht="15.75" thickBot="1">
      <c r="A344" s="73"/>
      <c r="B344" s="70"/>
      <c r="C344" s="73"/>
      <c r="D344" s="73" t="s">
        <v>794</v>
      </c>
      <c r="E344" s="73"/>
      <c r="F344" s="73"/>
      <c r="G344" s="73"/>
      <c r="H344" s="73">
        <f>H341+H342+H343</f>
        <v>0</v>
      </c>
      <c r="I344" s="73">
        <f>I341+I342+I343</f>
        <v>0</v>
      </c>
      <c r="J344" s="73">
        <f t="shared" ref="J344:S344" si="186">J341+J342+J343</f>
        <v>0</v>
      </c>
      <c r="K344" s="73">
        <f t="shared" si="186"/>
        <v>0</v>
      </c>
      <c r="L344" s="73">
        <f t="shared" si="186"/>
        <v>0</v>
      </c>
      <c r="M344" s="73">
        <f t="shared" si="186"/>
        <v>0</v>
      </c>
      <c r="N344" s="73">
        <f t="shared" si="186"/>
        <v>0</v>
      </c>
      <c r="O344" s="73">
        <f t="shared" si="186"/>
        <v>0</v>
      </c>
      <c r="P344" s="73">
        <f t="shared" si="186"/>
        <v>189.34110742730843</v>
      </c>
      <c r="Q344" s="73">
        <f t="shared" si="186"/>
        <v>336.86254334819557</v>
      </c>
      <c r="R344" s="73">
        <f t="shared" si="186"/>
        <v>336.86254334819557</v>
      </c>
      <c r="S344" s="73">
        <f t="shared" si="186"/>
        <v>336.86254334819557</v>
      </c>
      <c r="T344" s="77">
        <f>SUM(H344:S344)</f>
        <v>1199.9287374718951</v>
      </c>
      <c r="V344" s="72"/>
      <c r="W344" s="73" t="s">
        <v>794</v>
      </c>
      <c r="AC344" s="576">
        <f>SUM(AC332,AC338)</f>
        <v>0</v>
      </c>
      <c r="AD344" s="577">
        <f t="shared" si="184"/>
        <v>0</v>
      </c>
      <c r="AE344" s="577">
        <f t="shared" si="184"/>
        <v>0</v>
      </c>
      <c r="AF344" s="577">
        <f t="shared" si="184"/>
        <v>0</v>
      </c>
      <c r="AG344" s="577">
        <f t="shared" si="184"/>
        <v>0</v>
      </c>
      <c r="AH344" s="577">
        <f t="shared" si="184"/>
        <v>0</v>
      </c>
      <c r="AI344" s="577">
        <f t="shared" si="184"/>
        <v>0</v>
      </c>
      <c r="AJ344" s="577">
        <f t="shared" si="184"/>
        <v>0</v>
      </c>
      <c r="AK344" s="577">
        <f t="shared" si="184"/>
        <v>0</v>
      </c>
      <c r="AL344" s="577">
        <f t="shared" si="184"/>
        <v>0</v>
      </c>
      <c r="AM344" s="577">
        <f t="shared" si="184"/>
        <v>0</v>
      </c>
      <c r="AN344" s="577">
        <f t="shared" si="184"/>
        <v>0</v>
      </c>
      <c r="AO344" s="577">
        <f t="shared" si="184"/>
        <v>63.113702475769479</v>
      </c>
      <c r="AP344" s="577">
        <f t="shared" si="184"/>
        <v>63.113702475769479</v>
      </c>
      <c r="AQ344" s="577">
        <f t="shared" si="184"/>
        <v>63.113702475769479</v>
      </c>
      <c r="AR344" s="577">
        <f t="shared" si="184"/>
        <v>0</v>
      </c>
      <c r="AS344" s="577">
        <f t="shared" si="184"/>
        <v>0</v>
      </c>
      <c r="AT344" s="577">
        <f t="shared" si="184"/>
        <v>0</v>
      </c>
      <c r="AU344" s="577">
        <f t="shared" si="184"/>
        <v>0</v>
      </c>
      <c r="AV344" s="577">
        <f t="shared" si="184"/>
        <v>0</v>
      </c>
      <c r="AW344" s="577">
        <f t="shared" si="184"/>
        <v>0</v>
      </c>
      <c r="AX344" s="577">
        <f t="shared" si="184"/>
        <v>336.86254334819557</v>
      </c>
      <c r="AY344" s="577">
        <f t="shared" si="184"/>
        <v>336.86254334819557</v>
      </c>
      <c r="AZ344" s="578">
        <f t="shared" si="184"/>
        <v>336.86254334819557</v>
      </c>
      <c r="BA344" s="16">
        <f>SUM(AC344:AZ344)</f>
        <v>1199.9287374718951</v>
      </c>
    </row>
    <row r="345" spans="1:62" ht="15.75" thickBot="1">
      <c r="A345" s="73"/>
      <c r="B345" s="70"/>
      <c r="C345" s="73"/>
      <c r="D345" s="73"/>
      <c r="E345" s="73"/>
      <c r="F345" s="73"/>
      <c r="G345" s="73"/>
      <c r="H345" s="73"/>
      <c r="I345" s="73"/>
      <c r="J345" s="73"/>
      <c r="K345" s="73"/>
      <c r="L345" s="73"/>
      <c r="M345" s="73"/>
      <c r="N345" s="73"/>
      <c r="O345" s="73"/>
      <c r="P345" s="73"/>
      <c r="Q345" s="73"/>
      <c r="R345" s="73"/>
      <c r="S345" s="73"/>
      <c r="T345" s="79">
        <f>SUM(T332:T338)*1.1</f>
        <v>1319.9216112190848</v>
      </c>
      <c r="W345" s="581" t="s">
        <v>534</v>
      </c>
    </row>
    <row r="346" spans="1:62">
      <c r="A346" s="81" t="s">
        <v>534</v>
      </c>
      <c r="B346" s="82"/>
      <c r="C346" s="81"/>
      <c r="D346" s="81" t="s">
        <v>791</v>
      </c>
      <c r="E346" s="81"/>
      <c r="F346" s="81"/>
      <c r="G346" s="81"/>
      <c r="H346" s="81">
        <f>H32+H38+H44+H56+H62+H68+H74+H80+57+H92+H98+H104+H110+H116+H122+H128+H134+H146+H152+H158+H164+H170+H176+H182+H188+H194+H200+H206+H212+H218+H224+H224+H236+H242+H248+H254+H260+H266+H279+H285+H291+H297+H303+H309+H315+H328+H334</f>
        <v>2282</v>
      </c>
      <c r="I346" s="81">
        <f>I32+I38+I44+I56+I62+I68+I74+I80+I86+I92+I98+I104+I110+I116+I122+I128+I134+I146+I152+I158+I164+I170+I176+I182+I188+I194+I200+I206+I212+I218+I224+I236+I242+I248+I254+I260+I266+I279+I285+I291+I297+I303+I309+I315+I328+I334</f>
        <v>10591</v>
      </c>
      <c r="J346" s="81">
        <f>J32+J38+J44+J56+J62+J68+J74+J80+J86+J744+J98+J104+J110+J116+J122+J128+J134+J146+J152+J158+J164+J170+J176+J182+J188+J194+J200+J206+J212+J218+J224+J236+J242+J248+J254+J260+J266+J279+J285+J291+J297+J303+J309+J315+J328+J334</f>
        <v>13636</v>
      </c>
      <c r="K346" s="81">
        <f>K32+K38+K44+K56+K62+K68+K74+K80+K86+K92+K98+K104+K110+K116+K122+K128+K134+K146+K152+K158+K164+K170+K176+K182+K188+K194+K200+K206+K212+K218+K224+K236+K242+K248+K254+K260+K266+K279+K285+K291+K297+K303+K309+K315+K328+K334</f>
        <v>12059</v>
      </c>
      <c r="L346" s="81">
        <f>L32+L38+L44+L56+K62+L68+L74+L80+L86+L92+L98+L104+L110+L116+L122+L128+L134+L146+L152+L158+L164+L170+L176+L182+L188+L194+L200+L206+L212+L218+L224+L236+L242+L248+L254+L260+L266+L279+L285+L291+L297+L303+L309+L315+L328+L334</f>
        <v>12971</v>
      </c>
      <c r="M346" s="81">
        <f>M32+M38+M44+M56+M62+M68+M74+M80+M86+M92+M98+M104+M110+M116+M122+M128+M134+M146+M152+M158+M164+M170+M176+M182+M188+M194+M200+M206+M212+M218+M224+M236+M242+M248+M254+M260+M266+M279+M285+M291+M297+M303+255+M315+M328+M334</f>
        <v>11525</v>
      </c>
      <c r="N346" s="81">
        <f t="shared" ref="N346:O349" si="187">N32+N38+N44+N56+N62+N68+N74+N80+N86+N92+N98+N104+N110+N116+N122+N128+N134+N146+N152+N158+N164+N170+N176+N182+N188+N194+N200+N206+N212+N218+N224+N236+N242+N248+N254+N260+N266+N279+N285+N291+N297+N303+N309+N315+N328+N334</f>
        <v>7880</v>
      </c>
      <c r="O346" s="81">
        <f t="shared" si="187"/>
        <v>6205</v>
      </c>
      <c r="P346" s="81">
        <f>P32+P38+P44+P56+P62+P68+P74+P80+P86+P92+P98+P104+P110+P116+P122+P128+P134+P146+P152+P158+P164+P170+P176+P182+P188+P194+P200+P206+P212+P218+P224+P236+P242+P248+P255+P260+P266+P279+P285+P291+P297+P303+P309+P315+P328+P334</f>
        <v>5838</v>
      </c>
      <c r="Q346" s="81">
        <f>Q32+Q38+Q44+Q56+Q62+Q68+Q74+Q80+Q86+Q92+Q98+Q104+Q110+Q116+Q122+Q128+Q134+Q146+Q152+Q158+Q164+Q170+Q176+Q182+Q188+Q194+Q200+Q206+Q212+Q218+Q224+Q236+Q242+Q248+Q254+Q260+Q266+Q279+Q285+Q291+Q297+Q303+Q309+Q315+Q328+Q334</f>
        <v>6212</v>
      </c>
      <c r="R346" s="81">
        <f>R32+R38+R44+R56+R62+R68+R74+R80+R86+R92+R98+R104+R110+R116+R122+R128+R134+R146+R152+R158+R164+R170+R176+R182+R188+R194+R200+R206+R212+R218+189+R236+R242+R248+R254+R260+R148+R154+R279+R285+R291+R297+R303+R309+R315+R328+R334</f>
        <v>4369</v>
      </c>
      <c r="S346" s="81">
        <f>S32+S38+S44+S56+S62+S68+S74+S80+S86+S92+S98+S104+S110+S116+S122+S128+S134+S146+S152+S158+S164+S170+S176+S182+S188+S194+S200+S206+S212+S218+S224+S236+S242+S248+S254+S260+S266+S279+S285+S291+S297+S303+S309+S315+S328+S334</f>
        <v>3955</v>
      </c>
      <c r="U346" s="77">
        <f>H346+I346+J346+K346+L346+M346+N346+O346+P346+Q346+R346+S346</f>
        <v>97523</v>
      </c>
      <c r="V346" s="77"/>
      <c r="W346" s="81" t="s">
        <v>791</v>
      </c>
      <c r="Y346" s="77"/>
      <c r="Z346" s="77"/>
      <c r="AC346" s="582">
        <f>SUM(AC32,AC38,AC44,AC56,AC62,AC68,AC74,AC80,AC86,AC92,AC98,AC104,AC110,AC116,AC122,AC128,AC134,AC146,AC152,AC158,AC164,AC170,AC176,AC182,AC188,AC194,AC200,AC206,AC212,AC218,AC224,AC236,AC242,AC248,AC254,AC260,AC266,AC279,AC285,AC291,AC297,AC303,AC309,AC315,AC328,AC334)</f>
        <v>840</v>
      </c>
      <c r="AD346" s="583">
        <f t="shared" ref="AD346:AZ346" si="188">SUM(AD32,AD38,AD44,AD56,AD62,AD68,AD74,AD80,AD86,AD92,AD98,AD104,AD110,AD116,AD122,AD128,AD134,AD146,AD152,AD158,AD164,AD170,AD176,AD182,AD188,AD194,AD200,AD206,AD212,AD218,AD224,AD236,AD242,AD248,AD254,AD260,AD266,AD279,AD285,AD291,AD297,AD303,AD309,AD315,AD328,AD334)</f>
        <v>2300</v>
      </c>
      <c r="AE346" s="583">
        <f t="shared" si="188"/>
        <v>4117.5</v>
      </c>
      <c r="AF346" s="583">
        <f t="shared" si="188"/>
        <v>4838</v>
      </c>
      <c r="AG346" s="583">
        <f>SUM(AG32,AG38,AG44,AG56,AG62,AG68,AG74,AG80,AG86,AG92,AG98,AG104,AG110,AG116,AG122,AG128,AG134,AG146,AG152,AG158,AG164,AG170,AG176,AG182,AG188,AG194,AG200,AG206,AG212,AG218,AG224,AG236,AG242,AG248,AG254,AG260,AG266,AG279,AG285,AG291,AG297,AG303,AG309,AG315,AG328,AG334)</f>
        <v>5269</v>
      </c>
      <c r="AH346" s="583">
        <f t="shared" si="188"/>
        <v>6114</v>
      </c>
      <c r="AI346" s="583">
        <f t="shared" si="188"/>
        <v>8389</v>
      </c>
      <c r="AJ346" s="583">
        <f t="shared" si="188"/>
        <v>7310</v>
      </c>
      <c r="AK346" s="583">
        <f t="shared" si="188"/>
        <v>5720</v>
      </c>
      <c r="AL346" s="583">
        <f t="shared" si="188"/>
        <v>5677.5</v>
      </c>
      <c r="AM346" s="583">
        <f t="shared" si="188"/>
        <v>4895.5</v>
      </c>
      <c r="AN346" s="583">
        <f>SUM(AN32,AN38,AN44,AN56,AN62,AN68,AN74,AN80,AN86,AN92,AN98,AN104,AN110,AN116,AN122,AN128,AN134,AN146,AN152,AN158,AN164,AN170,AN176,AN182,AN188,AN194,AN200,AN206,AN212,AN218,AN224,AN236,AN242,AN248,AN254,AN260,AN266,AN279,AN285,AN291,AN297,AN303,AN309,AN315,AN328,AN334)</f>
        <v>2447</v>
      </c>
      <c r="AO346" s="583">
        <f t="shared" si="188"/>
        <v>2637.3333333333335</v>
      </c>
      <c r="AP346" s="583">
        <f t="shared" si="188"/>
        <v>5091.333333333333</v>
      </c>
      <c r="AQ346" s="583">
        <f t="shared" si="188"/>
        <v>4023.3333333333335</v>
      </c>
      <c r="AR346" s="583">
        <f t="shared" si="188"/>
        <v>3141.6666666666665</v>
      </c>
      <c r="AS346" s="583">
        <f t="shared" si="188"/>
        <v>3141.6666666666665</v>
      </c>
      <c r="AT346" s="583">
        <f t="shared" si="188"/>
        <v>2377.5</v>
      </c>
      <c r="AU346" s="583">
        <f t="shared" si="188"/>
        <v>2997.5</v>
      </c>
      <c r="AV346" s="583">
        <f t="shared" si="188"/>
        <v>3118</v>
      </c>
      <c r="AW346" s="583">
        <f t="shared" si="188"/>
        <v>2024.5</v>
      </c>
      <c r="AX346" s="583">
        <f t="shared" si="188"/>
        <v>3730</v>
      </c>
      <c r="AY346" s="583">
        <f t="shared" si="188"/>
        <v>3617.5</v>
      </c>
      <c r="AZ346" s="584">
        <f t="shared" si="188"/>
        <v>3549.1666666666665</v>
      </c>
      <c r="BA346">
        <f t="shared" ref="BA346:BA349" si="189">SUM(AC346:AZ346)</f>
        <v>97367.000000000015</v>
      </c>
      <c r="BC346" s="648" t="s">
        <v>1163</v>
      </c>
      <c r="BD346" s="648"/>
      <c r="BE346" s="648"/>
      <c r="BF346" s="648"/>
      <c r="BG346" s="648"/>
      <c r="BH346" s="648"/>
      <c r="BI346" s="648"/>
      <c r="BJ346" s="648"/>
    </row>
    <row r="347" spans="1:62">
      <c r="A347" s="81"/>
      <c r="B347" s="82"/>
      <c r="C347" s="81"/>
      <c r="D347" s="81" t="s">
        <v>792</v>
      </c>
      <c r="E347" s="81"/>
      <c r="F347" s="81"/>
      <c r="G347" s="81"/>
      <c r="H347" s="81">
        <f>H33+H39+H45+H57+H63+H69+H75+H81+H87+H93+H99+H105+H111+H117+H123+H129+H135+H147+H153+H159+H165+H171+H177+H183+H189+H195+H201+H207+H213+H219+H225+H237+H243+H249+H255+H261+H267+H280+H286+H292+H298+H304+H310+H316+H329+H335</f>
        <v>227.0445104988377</v>
      </c>
      <c r="I347" s="81">
        <f>I33+I39+I45+I57+I63+I69+I75+I81+I87+I93+I99+I105+I111+I117+I123+I129+I135+I147+I153+I159+I165+I171+I177+I183+I189+I195+I201+I207+I213+I219+I225+I237+I243+I249+I255+I261+I267+I280+I286+I292+I298+I304+I310+I316+I329+I335</f>
        <v>1074.9195914789834</v>
      </c>
      <c r="J347" s="81">
        <f>J33+J39+J45+J57+J63+J69+J75+J81+J87+J93+J99+J105+J111+J117+J123+J129+J135+J147+J153+J159+J165+J171+J177+J183+J189+J195+J201+J207+J213+J219+J225+J237+J243+J249+J255+J261+J267+J280+J286+J292+J298+J304+J310+J316+J329+J335</f>
        <v>1412.7439884150756</v>
      </c>
      <c r="K347" s="81">
        <f>K33+K39+K45+K57+K63+K69+K75+K81+K87+K93+K99+K105+K111+K117+K123+K129+K135+K147+K153+K159+K165+K171+K177+K183+K189+K195+K201+K207+K213+K219+K225+K237+K243+K249+K255+K261+K267+K280+K286+K292+K298+K304+K310+K316+K329+K335</f>
        <v>1221.2105102701878</v>
      </c>
      <c r="L347" s="81">
        <f>L33+L39+L45+L57+L63+L69+L75+L81+L87+L93+L99+L105+L111+L117+L123+L129+L135+L147+L153+L159+L165+L171+L177+L183+L189+L195+L201+L207+L213+L219+L225+L237+L243+L249+L255+L261+L149+L280+L286+L292+L298+L304+L310+L316+L329+L335</f>
        <v>1312.0942418352959</v>
      </c>
      <c r="M347" s="81">
        <f>M33+M39+M45+M57+M63+M69+M75+M81+M87+M93+M99+M105+M111+M117+M123+M129+M135+M147+M153+M159+M165+M171+M177+M183+M189+M195+M201+M207+M213+M219+M225+M237+M243+M249+M255+M261+M267+M280+M286+M292+M298+M304+M310+M316+M329+M335</f>
        <v>1142.5841240806374</v>
      </c>
      <c r="N347" s="81">
        <f t="shared" si="187"/>
        <v>804.75972714454474</v>
      </c>
      <c r="O347" s="81">
        <f t="shared" si="187"/>
        <v>637.84059296520718</v>
      </c>
      <c r="P347" s="81">
        <f>P33+P39+P45+P57+P63+P69+P75+P81+P87+P93+P99+P105+P111+P117+P123+P129+P135+P147+P153+P159+P165+P171+P177+P183+P189+P195+P201+P207+P213+P219+P225+P237+P243+P249+P255+P261+P267+P280+P286+P292+P298+P304+P310+P316+P329+P335</f>
        <v>601.26786326740603</v>
      </c>
      <c r="Q347" s="81">
        <f>Q33+Q39+Q45+Q57+Q63+Q69+Q75+Q81+Q87+Q93+Q99+Q105+Q111+Q117+Q123+Q129+Q135+Q147+Q153+Q159+Q165+Q171+Q177+Q183+Q189+Q195+Q201+Q207+Q213+Q219+Q225+Q237+Q243+Q249+Q255+Q261+Q267+Q280+Q286+Q292+Q298+Q304+Q310+Q316+Q329+Q335</f>
        <v>638.53816546625512</v>
      </c>
      <c r="R347" s="81">
        <f>R33+R39+R45+R57+R63+R69+R75+R81+R87+R93+R99+R105+R111+R117+R123+R129+R135+R147+R153+R159+R165+R171+R177+R183+R189+R195+R201+R207+R213+R219+R225+R237+R243+R249+R255+R261+R267+R280+R286+R292+R298+R304+R310+R316+R329+R335</f>
        <v>421.86654472009451</v>
      </c>
      <c r="S347" s="81">
        <f>S33+S39+S45+S57+S63+S69+S75+S81+S87+S93+S99+S105+S111+S117+S123+S129+S135+S147+S153+S159+S165+S171+S177+S183+S189+S195+S201+S207+S213+S219+S225+S237+S243+S249+S255+S261+S267+S280+S286+S292+S298+S304+S310+S316+S329+S335</f>
        <v>399.44457147212381</v>
      </c>
      <c r="U347" s="77">
        <f>H347+I347+J347+K347+L347+M347+N347+O347+P347+Q347+R347+S347</f>
        <v>9894.3144316146518</v>
      </c>
      <c r="V347" s="77"/>
      <c r="W347" s="81" t="s">
        <v>792</v>
      </c>
      <c r="Y347" s="77"/>
      <c r="Z347" s="77"/>
      <c r="AC347" s="585">
        <f t="shared" ref="AC347:AZ350" si="190">SUM(AC33,AC39,AC45,AC57,AC63,AC69,AC75,AC81,AC87,AC93,AC99,AC105,AC111,AC117,AC123,AC129,AC135,AC147,AC153,AC159,AC165,AC171,AC177,AC183,AC189,AC195,AC201,AC207,AC213,AC219,AC225,AC237,AC243,AC249,AC255,AC261,AC267,AC280,AC286,AC292,AC298,AC304,AC310,AC316,AC329,AC335)</f>
        <v>85.835143477763808</v>
      </c>
      <c r="AD347" s="81">
        <f t="shared" si="190"/>
        <v>232.39205822948824</v>
      </c>
      <c r="AE347" s="81">
        <f t="shared" si="190"/>
        <v>420.06830913456042</v>
      </c>
      <c r="AF347" s="81">
        <f t="shared" si="190"/>
        <v>491.86845013528455</v>
      </c>
      <c r="AG347" s="81">
        <f t="shared" si="190"/>
        <v>534.81898555695284</v>
      </c>
      <c r="AH347" s="81">
        <f t="shared" si="190"/>
        <v>619.0259517548875</v>
      </c>
      <c r="AI347" s="81">
        <f t="shared" si="190"/>
        <v>845.73701459548033</v>
      </c>
      <c r="AJ347" s="81">
        <f t="shared" si="190"/>
        <v>738.21119621965624</v>
      </c>
      <c r="AK347" s="81">
        <f t="shared" si="190"/>
        <v>579.76258526732977</v>
      </c>
      <c r="AL347" s="81">
        <f t="shared" si="190"/>
        <v>575.52732365382417</v>
      </c>
      <c r="AM347" s="81">
        <f t="shared" si="190"/>
        <v>497.59850996532157</v>
      </c>
      <c r="AN347" s="81">
        <f t="shared" si="190"/>
        <v>253.5976144201822</v>
      </c>
      <c r="AO347" s="81">
        <f t="shared" si="190"/>
        <v>272.56494290105815</v>
      </c>
      <c r="AP347" s="81">
        <f t="shared" si="190"/>
        <v>517.11393112559233</v>
      </c>
      <c r="AQ347" s="81">
        <f t="shared" si="190"/>
        <v>410.68429810855787</v>
      </c>
      <c r="AR347" s="81">
        <f t="shared" si="190"/>
        <v>322.82338071465773</v>
      </c>
      <c r="AS347" s="81">
        <f t="shared" si="190"/>
        <v>322.82338071465773</v>
      </c>
      <c r="AT347" s="81">
        <f t="shared" si="190"/>
        <v>246.6717160169201</v>
      </c>
      <c r="AU347" s="81">
        <f t="shared" si="190"/>
        <v>308.45670896688387</v>
      </c>
      <c r="AV347" s="81">
        <f t="shared" si="190"/>
        <v>320.46492130635266</v>
      </c>
      <c r="AW347" s="81">
        <f t="shared" si="190"/>
        <v>204.40598681452687</v>
      </c>
      <c r="AX347" s="81">
        <f t="shared" si="190"/>
        <v>374.36454403414507</v>
      </c>
      <c r="AY347" s="81">
        <f t="shared" si="190"/>
        <v>363.15355741015969</v>
      </c>
      <c r="AZ347" s="586">
        <f t="shared" si="190"/>
        <v>356.34392109040562</v>
      </c>
      <c r="BA347">
        <f t="shared" si="189"/>
        <v>9894.3144316146499</v>
      </c>
      <c r="BC347" s="587" t="s">
        <v>1164</v>
      </c>
      <c r="BD347" s="588" t="s">
        <v>553</v>
      </c>
      <c r="BE347" s="587" t="s">
        <v>1165</v>
      </c>
      <c r="BF347" s="587" t="s">
        <v>1166</v>
      </c>
      <c r="BG347" s="628"/>
      <c r="BH347" s="587" t="s">
        <v>1167</v>
      </c>
      <c r="BI347" s="587" t="s">
        <v>1168</v>
      </c>
      <c r="BJ347" s="83"/>
    </row>
    <row r="348" spans="1:62">
      <c r="A348" s="81"/>
      <c r="B348" s="82"/>
      <c r="C348" s="81"/>
      <c r="D348" s="81" t="s">
        <v>793</v>
      </c>
      <c r="E348" s="81"/>
      <c r="F348" s="81"/>
      <c r="G348" s="81"/>
      <c r="H348" s="81">
        <f>H34+H40+H46+H58+H64+H70+H76+H82+H88+H94+H100+H106+H112+H118+H124+H130+H136+H148+H154+H160+H166+H172+H178+H184+H190+H196+H202+H208+H214+H220+H226+H238+H244+H250+H256+H262+H268+H281+H287+H293+H299+H305+H311+H317+H330+H336</f>
        <v>0</v>
      </c>
      <c r="I348" s="81">
        <f>I34+I40+I46+I58+I64+I70+I76+I82+I88+I94+I100+I106+I112+I118+I124+I130+I136+I148+I154+I160+I166+I172+I178+I184+I190+I196+I202+I208+I214+I220+I226+I238+I244+I250+I256+I262+I268+I281+I287+I293+I299+I305+I311+I317+I330+I336</f>
        <v>542.625</v>
      </c>
      <c r="J348" s="81">
        <f>J34+J40+J46+J58+J64+J70+J76+J82+J88+J94+J100+J106+J112+J118+J124+J130+J136+J148+J154+J160+J166+J172+J178+J184+J190+J196+J202+J208+J214+J220+J226+J238+J244+J250+J256+J262+J268+J281+J287+J293+J299+J305+J311+J317+J330+J336</f>
        <v>1558.75</v>
      </c>
      <c r="K348" s="81">
        <f>K34+K40+K46+K58+K64+K70+K76+K82+K88+K94+K100+K106+K112+K118+K124+K130+K136+K148+K154+K160+K166+K172+K178+K184+K190+K196+K202+K208+K214+K220+K226+K238+K244+K250+K256+K262+K268+K281+K287+K293+K299+K305+K311+K317+K330+K336</f>
        <v>1714.325</v>
      </c>
      <c r="L348" s="81">
        <f>L34+L40+L46+L58+L64+L70+L76+L82+L88+L94+L100+L106+L112+L118+L124+L130+L136+L148+L154+L160+L166+L172+L178+L184+L190+L196+L202+L208+L214+L220+L226+L238+L244+L250+L256+L262+L268+L281+L287+L293+L299+L305+L311+L317+L330+L336</f>
        <v>1042.3499999999999</v>
      </c>
      <c r="M348" s="81">
        <f>M34+M40+M46+M58+M64+M70+M76+M82+M88+M94+M100+M106+M112+M118+M124+M130+M136+M148+M154+M160+M166+M172+M178+M184+M190+M196+M202+M208+M214+M220+M226+M238+M244+M250+M256+M262+M268+M281+M287+M293+M299+M305+M311+M317+M330+M336</f>
        <v>321.60000000000002</v>
      </c>
      <c r="N348" s="81">
        <f t="shared" si="187"/>
        <v>20</v>
      </c>
      <c r="O348" s="81">
        <f t="shared" si="187"/>
        <v>114</v>
      </c>
      <c r="P348" s="81">
        <f>P34+P40+P46+P58+P64+P70+P76+P82+P88+P94+P100+P106+P112+P118+P124+P130+P136+P148+P154+P160+P166+P172+P178+P184+P190+P196+P202+P208+P214+P220+P226+P238+P244+P250+P256+P262+P268+P281+P287+P293+P299+P305+P311+P317+P330+P336</f>
        <v>397.5</v>
      </c>
      <c r="Q348" s="81">
        <f>Q34+Q40+Q46+Q58+Q64+Q70+Q76+Q82+Q88+Q94+Q100+Q106+Q112+Q118+Q124+Q130+Q136+Q148+Q154+Q160+Q166+Q172+Q178+Q184+Q190+Q196+Q202+Q208+Q214+Q220+Q226+Q238+Q244+Q250+Q256+Q262+Q268+Q281+Q287+Q293+Q299+Q305+Q311+Q317+Q330+Q336</f>
        <v>177.5</v>
      </c>
      <c r="R348" s="81">
        <f>R34+R40+R46+R58+R64+R70+R76+R82+R88+R94+R100+R106+R112+R118+R124+R130+R136+R148+R154+R160+R166+R172+R178+R184+R190+R196+R202+R208+R214+R220+R226+R238+R244+R250+R256+R262+R268+R281+R287+R293+R299+R305+R311+R317+R330+R336</f>
        <v>0</v>
      </c>
      <c r="S348" s="81">
        <f>S34+S40+S46+S58+S64+S70+S76+S82+S88+S94+S100+S106+S112+S118+S124+S130+S136+S148+S154+S160+S166+S172+S178+S184+S190+S196+S202+S208+S214+S220+S226+S238+S244+S250+S256+S262+S268+S281+S287+S293+S299+S305+S311+S317+S330+S336</f>
        <v>0</v>
      </c>
      <c r="U348" s="77">
        <f>H348+I348+J348+K348+L348+M348+N348+O348+P348+Q348+R348+S348</f>
        <v>5888.65</v>
      </c>
      <c r="V348" s="77"/>
      <c r="W348" s="81" t="s">
        <v>793</v>
      </c>
      <c r="Y348" s="77"/>
      <c r="Z348" s="77"/>
      <c r="AC348" s="585">
        <f t="shared" si="190"/>
        <v>0</v>
      </c>
      <c r="AD348" s="81">
        <f t="shared" si="190"/>
        <v>0</v>
      </c>
      <c r="AE348" s="81">
        <f t="shared" si="190"/>
        <v>0</v>
      </c>
      <c r="AF348" s="81">
        <f t="shared" si="190"/>
        <v>0</v>
      </c>
      <c r="AG348" s="81">
        <f t="shared" si="190"/>
        <v>155.0625</v>
      </c>
      <c r="AH348" s="81">
        <f t="shared" si="190"/>
        <v>250.0625</v>
      </c>
      <c r="AI348" s="81">
        <f t="shared" si="190"/>
        <v>545.65</v>
      </c>
      <c r="AJ348" s="81">
        <f t="shared" si="190"/>
        <v>798.15</v>
      </c>
      <c r="AK348" s="81">
        <f t="shared" si="190"/>
        <v>1031.8125</v>
      </c>
      <c r="AL348" s="81">
        <f t="shared" si="190"/>
        <v>1228.5125</v>
      </c>
      <c r="AM348" s="81">
        <f t="shared" si="190"/>
        <v>720.8</v>
      </c>
      <c r="AN348" s="81">
        <f t="shared" si="190"/>
        <v>217.60000000000002</v>
      </c>
      <c r="AO348" s="81">
        <f t="shared" si="190"/>
        <v>10</v>
      </c>
      <c r="AP348" s="81">
        <f t="shared" si="190"/>
        <v>170</v>
      </c>
      <c r="AQ348" s="81">
        <f t="shared" si="190"/>
        <v>52</v>
      </c>
      <c r="AR348" s="81">
        <f t="shared" si="190"/>
        <v>0</v>
      </c>
      <c r="AS348" s="81">
        <f t="shared" si="190"/>
        <v>0</v>
      </c>
      <c r="AT348" s="81">
        <f t="shared" si="190"/>
        <v>0</v>
      </c>
      <c r="AU348" s="81">
        <f t="shared" si="190"/>
        <v>114</v>
      </c>
      <c r="AV348" s="81">
        <f t="shared" si="190"/>
        <v>407.5</v>
      </c>
      <c r="AW348" s="81">
        <f t="shared" si="190"/>
        <v>187.5</v>
      </c>
      <c r="AX348" s="81">
        <f t="shared" si="190"/>
        <v>0</v>
      </c>
      <c r="AY348" s="81">
        <f t="shared" si="190"/>
        <v>0</v>
      </c>
      <c r="AZ348" s="586">
        <f t="shared" si="190"/>
        <v>0</v>
      </c>
      <c r="BA348">
        <f t="shared" si="189"/>
        <v>5888.6500000000005</v>
      </c>
      <c r="BC348" s="588">
        <v>1</v>
      </c>
      <c r="BD348" s="588" t="s">
        <v>1169</v>
      </c>
      <c r="BE348" s="589">
        <v>20</v>
      </c>
      <c r="BF348" s="590">
        <v>0</v>
      </c>
      <c r="BG348" s="591">
        <v>43862</v>
      </c>
      <c r="BH348" s="590">
        <v>0</v>
      </c>
      <c r="BI348" s="590">
        <f>BE348-BH348</f>
        <v>20</v>
      </c>
      <c r="BJ348" s="83"/>
    </row>
    <row r="349" spans="1:62">
      <c r="A349" s="81"/>
      <c r="B349" s="82"/>
      <c r="C349" s="81"/>
      <c r="D349" s="81" t="s">
        <v>966</v>
      </c>
      <c r="E349" s="81"/>
      <c r="F349" s="81"/>
      <c r="G349" s="81"/>
      <c r="H349" s="81">
        <f>H35+H41+H47+H59+H65+H71+H77+H83+H89+H95+H101+H107+H113+H119+H125+H131+H137+H149+H155+H161+H167+H173+H179+H185+H191+H197+H203+H209+H215+H221+H227+H239+H245+H251+H257+H263+H269+H282+H288+H294+H300+H306+H312+H318+H331+H337</f>
        <v>15</v>
      </c>
      <c r="I349" s="81">
        <f>I35+I41+I47+I59+I65+I71+I77+I83+I89+I95+I101+I107+I113+I119+I125+I131+I137+I149+I155+I161+I167+I173+I179+I185+I191+I197+I203+I209+I215+I221+I227+I239+I245+I251+I257+I263+I269+I282+I288+I294+I300+I306+I312+I318+I331+I337</f>
        <v>52</v>
      </c>
      <c r="J349" s="81">
        <f>J35+J41+J47+J59+J65+J71+J77+J83+J89+J95+J101+J107+J113+J119+J125+J131+J137+J149+J155+J161+J167+J173+J179+J185+J191+J197+J203+J209+J215+J221+J227+J239+J245+J251+J257+J263+J269+J282+J288+J294+J300+J306+J312+J318+J331+J337</f>
        <v>37</v>
      </c>
      <c r="K349" s="81">
        <f>K35+K41+K47+K59+K65+K71+K77+K83+K89+K95+K101+K107+K113+K119+K125+K131+K137+K149+K155+K161+K167+K173+K179+K185+K191+K197+K203+K209+K215+K221+K227+K239+K245+K251+K257+K263+K269+K282+K288+K294+K300+K306+K312+K318+K331+K337</f>
        <v>37</v>
      </c>
      <c r="L349" s="81">
        <f>L35+L41+L47+L59+L65+L71+L77+L83+L89+L95+L101+L107+L113+L119+L125+L131+L137+L149+L155+L161+L167+L173+L179+L185+L191+L197+L203+L209+L215+L221+L227+L239+L245+L251+L257+L263+L269+L282+L288+L294+L300+L306+L312+L318+L331+L337</f>
        <v>37</v>
      </c>
      <c r="M349" s="81">
        <f>M35+M41+M47+M59+M65+M71+M77+M83+M89+M95+M101+M107+M113+M119+M125+M131+M137+M149+M155+M161+M167+M173+M179+M185+M191+M197+M203+M209+M215+M221+M227+M239+M245+M251+M257+M263+M269+M282+M288+M294+M300+M306+M312+M318+M331+M337</f>
        <v>29</v>
      </c>
      <c r="N349" s="81">
        <f t="shared" si="187"/>
        <v>25</v>
      </c>
      <c r="O349" s="81">
        <f t="shared" si="187"/>
        <v>18</v>
      </c>
      <c r="P349" s="81">
        <f>P35+P41+P47+P59+P65+P71+P77+P83+P89+P95+P101+P107+P113+P119+P125+P131+P137+P149+P155+P161+P167+P173+P179+P185+P191+P197+P203+P209+P215+P221+P227+P239+P245+P251+P257+P263+P269+P282+P288+P294+P300+P306+P312+P318+P331+P337</f>
        <v>53</v>
      </c>
      <c r="Q349" s="81">
        <f>Q35+Q41+Q47+Q59+Q65+Q71+Q77+Q83+Q89+Q95+Q101+Q107+Q113+Q119+Q125+Q131+Q137+Q149+Q155+Q161+Q167+Q173+Q179+Q185+Q191+Q197+Q203+Q209+Q215+Q221+Q227+Q239+Q245+Q251+Q257+Q263+Q269+Q282+Q288+Q294+Q300+Q306+Q312+Q318+Q331+Q337</f>
        <v>67</v>
      </c>
      <c r="R349" s="81">
        <f>R35+R41+R47+R59+R65+R71+R77+R83+R89+R95+R101+R107+R113+R119+R125+R131+R137+R149+R155+R161+R167+R173+R179+R185+R191+R197+R203+R209+R215+R221+R227+R239+R245+R251+R257+R263+R269+R282+R288+R294+R300+R306+R312+R318+R331+R337</f>
        <v>13</v>
      </c>
      <c r="S349" s="81">
        <f>S35+S41+S47+S59+S65+S71+S77+S83+S89+S95+S101+S107+S113+S119+S125+S131+S137+S149+S155+S161+S167+S173+S179+S185+S191+S197+S203+S209+S215+S221+S227+S239+S245+S251+S257+S263+S269+S282+S288+S294+S300+S306+S312+S318+S331+S337</f>
        <v>10</v>
      </c>
      <c r="U349" s="77">
        <f>H349+I349+J349+K349+L349+M349+N349+O349+P349+Q349+R349+S349</f>
        <v>393</v>
      </c>
      <c r="V349" s="77"/>
      <c r="W349" s="81" t="s">
        <v>966</v>
      </c>
      <c r="Y349" s="77"/>
      <c r="Z349" s="77"/>
      <c r="AC349" s="585">
        <f t="shared" si="190"/>
        <v>2</v>
      </c>
      <c r="AD349" s="81">
        <f t="shared" si="190"/>
        <v>8</v>
      </c>
      <c r="AE349" s="81">
        <f t="shared" si="190"/>
        <v>7.5</v>
      </c>
      <c r="AF349" s="81">
        <f t="shared" si="190"/>
        <v>25</v>
      </c>
      <c r="AG349" s="81">
        <f t="shared" si="190"/>
        <v>15</v>
      </c>
      <c r="AH349" s="81">
        <f t="shared" si="190"/>
        <v>12.5</v>
      </c>
      <c r="AI349" s="81">
        <f t="shared" si="190"/>
        <v>12.5</v>
      </c>
      <c r="AJ349" s="81">
        <f t="shared" si="190"/>
        <v>24.5</v>
      </c>
      <c r="AK349" s="81">
        <f t="shared" si="190"/>
        <v>29.5</v>
      </c>
      <c r="AL349" s="81">
        <f t="shared" si="190"/>
        <v>29.5</v>
      </c>
      <c r="AM349" s="81">
        <f t="shared" si="190"/>
        <v>17</v>
      </c>
      <c r="AN349" s="81">
        <f t="shared" si="190"/>
        <v>9</v>
      </c>
      <c r="AO349" s="81">
        <f t="shared" si="190"/>
        <v>5</v>
      </c>
      <c r="AP349" s="81">
        <f t="shared" si="190"/>
        <v>12.5</v>
      </c>
      <c r="AQ349" s="81">
        <f t="shared" si="190"/>
        <v>9</v>
      </c>
      <c r="AR349" s="81">
        <f t="shared" si="190"/>
        <v>9</v>
      </c>
      <c r="AS349" s="81">
        <f t="shared" si="190"/>
        <v>9</v>
      </c>
      <c r="AT349" s="81">
        <f t="shared" si="190"/>
        <v>9</v>
      </c>
      <c r="AU349" s="81">
        <f t="shared" si="190"/>
        <v>9</v>
      </c>
      <c r="AV349" s="81">
        <f t="shared" si="190"/>
        <v>51.5</v>
      </c>
      <c r="AW349" s="81">
        <f t="shared" si="190"/>
        <v>55.5</v>
      </c>
      <c r="AX349" s="81">
        <f t="shared" si="190"/>
        <v>11.5</v>
      </c>
      <c r="AY349" s="81">
        <f t="shared" si="190"/>
        <v>10</v>
      </c>
      <c r="AZ349" s="586">
        <f t="shared" si="190"/>
        <v>10</v>
      </c>
      <c r="BA349">
        <f t="shared" si="189"/>
        <v>393</v>
      </c>
      <c r="BC349" s="588">
        <v>2</v>
      </c>
      <c r="BD349" s="588" t="s">
        <v>1170</v>
      </c>
      <c r="BE349" s="589">
        <v>23</v>
      </c>
      <c r="BF349" s="590">
        <v>11</v>
      </c>
      <c r="BG349" s="591">
        <f>EDATE($BG$348,BF349)</f>
        <v>44197</v>
      </c>
      <c r="BH349" s="590">
        <f>(SUM(AC350:AG350)/BA350)*100</f>
        <v>12.22520891965547</v>
      </c>
      <c r="BI349" s="590">
        <f t="shared" ref="BI349:BI362" si="191">BE349-BH349</f>
        <v>10.77479108034453</v>
      </c>
      <c r="BJ349" s="83"/>
    </row>
    <row r="350" spans="1:62" ht="15.75" thickBot="1">
      <c r="A350" s="81"/>
      <c r="B350" s="82"/>
      <c r="C350" s="81"/>
      <c r="D350" s="81" t="s">
        <v>794</v>
      </c>
      <c r="E350" s="81"/>
      <c r="F350" s="81"/>
      <c r="G350" s="81"/>
      <c r="H350" s="81">
        <f>H347+H348+H349</f>
        <v>242.0445104988377</v>
      </c>
      <c r="I350" s="81">
        <f>I347+I348+I349</f>
        <v>1669.5445914789834</v>
      </c>
      <c r="J350" s="81">
        <f t="shared" ref="J350:S350" si="192">J347+J348+J349</f>
        <v>3008.4939884150754</v>
      </c>
      <c r="K350" s="81">
        <f t="shared" si="192"/>
        <v>2972.5355102701878</v>
      </c>
      <c r="L350" s="81">
        <f t="shared" si="192"/>
        <v>2391.4442418352955</v>
      </c>
      <c r="M350" s="81">
        <f t="shared" si="192"/>
        <v>1493.1841240806375</v>
      </c>
      <c r="N350" s="81">
        <f t="shared" si="192"/>
        <v>849.75972714454474</v>
      </c>
      <c r="O350" s="81">
        <f t="shared" si="192"/>
        <v>769.84059296520718</v>
      </c>
      <c r="P350" s="81">
        <f t="shared" si="192"/>
        <v>1051.767863267406</v>
      </c>
      <c r="Q350" s="81">
        <f t="shared" si="192"/>
        <v>883.03816546625512</v>
      </c>
      <c r="R350" s="81">
        <f t="shared" si="192"/>
        <v>434.86654472009451</v>
      </c>
      <c r="S350" s="81">
        <f t="shared" si="192"/>
        <v>409.44457147212381</v>
      </c>
      <c r="U350" s="77">
        <f>H350+I350+J350+K350+L350+M350+N350+O350+P350+Q350+R350+S350</f>
        <v>16175.96443161465</v>
      </c>
      <c r="V350" s="77"/>
      <c r="W350" s="81" t="s">
        <v>794</v>
      </c>
      <c r="Y350" s="77"/>
      <c r="Z350" s="77"/>
      <c r="AC350" s="592">
        <f t="shared" si="190"/>
        <v>87.835143477763808</v>
      </c>
      <c r="AD350" s="593">
        <f t="shared" si="190"/>
        <v>240.39205822948824</v>
      </c>
      <c r="AE350" s="593">
        <f t="shared" si="190"/>
        <v>427.56830913456042</v>
      </c>
      <c r="AF350" s="593">
        <f t="shared" si="190"/>
        <v>516.86845013528443</v>
      </c>
      <c r="AG350" s="593">
        <f t="shared" si="190"/>
        <v>704.88148555695307</v>
      </c>
      <c r="AH350" s="593">
        <f t="shared" si="190"/>
        <v>881.5884517548875</v>
      </c>
      <c r="AI350" s="593">
        <f t="shared" si="190"/>
        <v>1403.8870145954804</v>
      </c>
      <c r="AJ350" s="593">
        <f t="shared" si="190"/>
        <v>1560.8611962196562</v>
      </c>
      <c r="AK350" s="593">
        <f t="shared" si="190"/>
        <v>1641.0750852673298</v>
      </c>
      <c r="AL350" s="593">
        <f t="shared" si="190"/>
        <v>1833.539823653824</v>
      </c>
      <c r="AM350" s="593">
        <f t="shared" si="190"/>
        <v>1235.3985099653212</v>
      </c>
      <c r="AN350" s="593">
        <f t="shared" si="190"/>
        <v>480.19761442018222</v>
      </c>
      <c r="AO350" s="593">
        <f t="shared" si="190"/>
        <v>287.56494290105815</v>
      </c>
      <c r="AP350" s="593">
        <f t="shared" si="190"/>
        <v>699.61393112559233</v>
      </c>
      <c r="AQ350" s="593">
        <f t="shared" si="190"/>
        <v>471.68429810855787</v>
      </c>
      <c r="AR350" s="593">
        <f t="shared" si="190"/>
        <v>331.82338071465773</v>
      </c>
      <c r="AS350" s="593">
        <f t="shared" si="190"/>
        <v>331.82338071465773</v>
      </c>
      <c r="AT350" s="593">
        <f t="shared" si="190"/>
        <v>255.6717160169201</v>
      </c>
      <c r="AU350" s="593">
        <f t="shared" si="190"/>
        <v>431.45670896688392</v>
      </c>
      <c r="AV350" s="593">
        <f t="shared" si="190"/>
        <v>779.46492130635272</v>
      </c>
      <c r="AW350" s="593">
        <f t="shared" si="190"/>
        <v>447.40598681452678</v>
      </c>
      <c r="AX350" s="593">
        <f t="shared" si="190"/>
        <v>385.86454403414507</v>
      </c>
      <c r="AY350" s="593">
        <f t="shared" si="190"/>
        <v>373.15355741015969</v>
      </c>
      <c r="AZ350" s="594">
        <f t="shared" si="190"/>
        <v>366.34392109040562</v>
      </c>
      <c r="BA350" s="16">
        <f>SUM(AC350:AZ350)</f>
        <v>16175.964431614646</v>
      </c>
      <c r="BC350" s="588">
        <v>3</v>
      </c>
      <c r="BD350" s="588" t="s">
        <v>1171</v>
      </c>
      <c r="BE350" s="589">
        <v>26</v>
      </c>
      <c r="BF350" s="590">
        <v>15</v>
      </c>
      <c r="BG350" s="591">
        <f t="shared" ref="BG350:BG362" si="193">EDATE($BG$348,BF350)</f>
        <v>44317</v>
      </c>
      <c r="BH350" s="590">
        <f>(SUM(AC350:AH350)/BA350)*100</f>
        <v>17.675198968050314</v>
      </c>
      <c r="BI350" s="590">
        <f t="shared" si="191"/>
        <v>8.3248010319496863</v>
      </c>
      <c r="BJ350" s="83"/>
    </row>
    <row r="351" spans="1:62">
      <c r="A351" s="90"/>
      <c r="B351" s="91"/>
      <c r="C351" s="90"/>
      <c r="D351" s="90"/>
      <c r="E351" s="90"/>
      <c r="F351" s="90"/>
      <c r="G351" s="90"/>
      <c r="H351" s="90"/>
      <c r="I351" s="90"/>
      <c r="J351" s="90"/>
      <c r="K351" s="90"/>
      <c r="L351" s="90"/>
      <c r="M351" s="90"/>
      <c r="N351" s="90"/>
      <c r="O351" s="90"/>
      <c r="P351" s="90"/>
      <c r="Q351" s="90"/>
      <c r="R351" s="90"/>
      <c r="S351" s="90"/>
      <c r="T351" s="595">
        <v>0.1</v>
      </c>
      <c r="U351" s="79">
        <f>1.1*U350</f>
        <v>17793.560874776114</v>
      </c>
      <c r="V351" s="79"/>
      <c r="Y351" s="79"/>
      <c r="Z351" s="79"/>
      <c r="AZ351" s="595">
        <v>0.1</v>
      </c>
      <c r="BA351" s="596">
        <f>BA350*1.1</f>
        <v>17793.560874776111</v>
      </c>
      <c r="BC351" s="588">
        <v>4</v>
      </c>
      <c r="BD351" s="588" t="s">
        <v>1172</v>
      </c>
      <c r="BE351" s="589">
        <v>29</v>
      </c>
      <c r="BF351" s="590">
        <v>16</v>
      </c>
      <c r="BG351" s="591">
        <f t="shared" si="193"/>
        <v>44348</v>
      </c>
      <c r="BH351" s="590">
        <f>(SUM(AC350:AI350)/BA350)*100</f>
        <v>26.354044798421295</v>
      </c>
      <c r="BI351" s="590">
        <f t="shared" si="191"/>
        <v>2.6459552015787047</v>
      </c>
      <c r="BJ351" s="83"/>
    </row>
    <row r="352" spans="1:62">
      <c r="A352" s="90"/>
      <c r="B352" s="91"/>
      <c r="C352" s="90"/>
      <c r="D352" s="90"/>
      <c r="E352" s="90"/>
      <c r="F352" s="90"/>
      <c r="G352" s="90"/>
      <c r="H352" s="90"/>
      <c r="I352" s="90"/>
      <c r="J352" s="90"/>
      <c r="K352" s="90"/>
      <c r="L352" s="90"/>
      <c r="M352" s="90"/>
      <c r="N352" s="90"/>
      <c r="O352" s="90"/>
      <c r="P352" s="90"/>
      <c r="Q352" s="90"/>
      <c r="R352" s="90"/>
      <c r="S352" s="90"/>
      <c r="T352" s="17" t="s">
        <v>1173</v>
      </c>
      <c r="AC352" s="601">
        <v>2020</v>
      </c>
      <c r="AD352" s="601"/>
      <c r="AE352" s="601"/>
      <c r="AF352" s="601"/>
      <c r="AG352" s="2">
        <v>2021</v>
      </c>
      <c r="AH352" s="2"/>
      <c r="AI352" s="2"/>
      <c r="AJ352" s="2"/>
      <c r="AK352" s="601">
        <v>2022</v>
      </c>
      <c r="AL352" s="601"/>
      <c r="AM352" s="601"/>
      <c r="AN352" s="601"/>
      <c r="AO352" s="2">
        <v>2023</v>
      </c>
      <c r="AP352" s="2"/>
      <c r="AQ352" s="2"/>
      <c r="AR352" s="2"/>
      <c r="AS352" s="601">
        <v>2024</v>
      </c>
      <c r="AT352" s="601"/>
      <c r="AU352" s="601"/>
      <c r="AV352" s="601"/>
      <c r="AW352" s="2">
        <v>2025</v>
      </c>
      <c r="AX352" s="2"/>
      <c r="AY352" s="2"/>
      <c r="AZ352" s="2"/>
      <c r="BC352" s="588">
        <v>5</v>
      </c>
      <c r="BD352" s="588" t="s">
        <v>1174</v>
      </c>
      <c r="BE352" s="589">
        <v>48</v>
      </c>
      <c r="BF352" s="590">
        <v>22</v>
      </c>
      <c r="BG352" s="591">
        <f t="shared" si="193"/>
        <v>44531</v>
      </c>
      <c r="BH352" s="590">
        <f>(SUM(AC350:AJ350)/BA350)*100</f>
        <v>36.00330684284738</v>
      </c>
      <c r="BI352" s="590">
        <f t="shared" si="191"/>
        <v>11.99669315715262</v>
      </c>
      <c r="BJ352" s="83"/>
    </row>
    <row r="353" spans="1:62">
      <c r="H353" t="s">
        <v>1175</v>
      </c>
      <c r="I353" t="s">
        <v>1176</v>
      </c>
      <c r="J353" t="s">
        <v>1177</v>
      </c>
      <c r="K353" t="s">
        <v>1178</v>
      </c>
      <c r="L353" t="s">
        <v>1179</v>
      </c>
      <c r="M353" t="s">
        <v>1180</v>
      </c>
      <c r="N353" t="s">
        <v>1181</v>
      </c>
      <c r="O353" t="s">
        <v>1182</v>
      </c>
      <c r="P353" t="s">
        <v>1183</v>
      </c>
      <c r="Q353" t="s">
        <v>1184</v>
      </c>
      <c r="R353" t="s">
        <v>1185</v>
      </c>
      <c r="S353" t="s">
        <v>1186</v>
      </c>
      <c r="U353" t="s">
        <v>1187</v>
      </c>
      <c r="AC353" s="557" t="s">
        <v>548</v>
      </c>
      <c r="AD353" s="557" t="s">
        <v>549</v>
      </c>
      <c r="AE353" s="557" t="s">
        <v>780</v>
      </c>
      <c r="AF353" s="557" t="s">
        <v>551</v>
      </c>
      <c r="AG353" s="557" t="s">
        <v>548</v>
      </c>
      <c r="AH353" s="557" t="s">
        <v>549</v>
      </c>
      <c r="AI353" s="557" t="s">
        <v>780</v>
      </c>
      <c r="AJ353" s="557" t="s">
        <v>551</v>
      </c>
      <c r="AK353" s="557" t="s">
        <v>548</v>
      </c>
      <c r="AL353" s="557" t="s">
        <v>549</v>
      </c>
      <c r="AM353" s="557" t="s">
        <v>780</v>
      </c>
      <c r="AN353" s="557" t="s">
        <v>551</v>
      </c>
      <c r="AO353" s="557" t="s">
        <v>548</v>
      </c>
      <c r="AP353" s="557" t="s">
        <v>549</v>
      </c>
      <c r="AQ353" s="557" t="s">
        <v>780</v>
      </c>
      <c r="AR353" s="557" t="s">
        <v>551</v>
      </c>
      <c r="AS353" s="557" t="s">
        <v>548</v>
      </c>
      <c r="AT353" s="557" t="s">
        <v>549</v>
      </c>
      <c r="AU353" s="557" t="s">
        <v>780</v>
      </c>
      <c r="AV353" s="557" t="s">
        <v>551</v>
      </c>
      <c r="AW353" s="557" t="s">
        <v>548</v>
      </c>
      <c r="AX353" s="557" t="s">
        <v>549</v>
      </c>
      <c r="AY353" s="557" t="s">
        <v>780</v>
      </c>
      <c r="AZ353" s="557" t="s">
        <v>551</v>
      </c>
      <c r="BC353" s="588">
        <v>6</v>
      </c>
      <c r="BD353" s="588" t="s">
        <v>1188</v>
      </c>
      <c r="BE353" s="589">
        <v>54</v>
      </c>
      <c r="BF353" s="590">
        <v>24</v>
      </c>
      <c r="BG353" s="591">
        <f t="shared" si="193"/>
        <v>44593</v>
      </c>
      <c r="BH353" s="590">
        <f>(SUM(AC350:AK350)/BA350)*100</f>
        <v>46.148452081050173</v>
      </c>
      <c r="BI353" s="590">
        <f t="shared" si="191"/>
        <v>7.8515479189498265</v>
      </c>
      <c r="BJ353" s="83"/>
    </row>
    <row r="354" spans="1:62">
      <c r="BC354" s="588">
        <v>7</v>
      </c>
      <c r="BD354" s="588" t="s">
        <v>1189</v>
      </c>
      <c r="BE354" s="589">
        <v>63</v>
      </c>
      <c r="BF354" s="590">
        <v>29</v>
      </c>
      <c r="BG354" s="591">
        <f t="shared" si="193"/>
        <v>44743</v>
      </c>
      <c r="BH354" s="590">
        <f>(SUM(AC350:AM350)/BA350)*100</f>
        <v>65.120664505189453</v>
      </c>
      <c r="BI354" s="590">
        <f t="shared" si="191"/>
        <v>-2.1206645051894526</v>
      </c>
      <c r="BJ354" s="83"/>
    </row>
    <row r="355" spans="1:62">
      <c r="BC355" s="588">
        <v>8</v>
      </c>
      <c r="BD355" s="588" t="s">
        <v>1190</v>
      </c>
      <c r="BE355" s="589">
        <v>68</v>
      </c>
      <c r="BF355" s="590">
        <v>35</v>
      </c>
      <c r="BG355" s="591">
        <f t="shared" si="193"/>
        <v>44927</v>
      </c>
      <c r="BH355" s="590">
        <f>(SUM(AC350:AO350)/BA350)*100</f>
        <v>69.8669815521082</v>
      </c>
      <c r="BI355" s="590">
        <f t="shared" si="191"/>
        <v>-1.8669815521082</v>
      </c>
      <c r="BJ355" s="83"/>
    </row>
    <row r="356" spans="1:62">
      <c r="A356" s="16"/>
      <c r="B356" s="94"/>
      <c r="C356" s="16"/>
      <c r="AJ356" s="597"/>
      <c r="BC356" s="588">
        <v>9</v>
      </c>
      <c r="BD356" s="588" t="s">
        <v>1191</v>
      </c>
      <c r="BE356" s="589">
        <v>73</v>
      </c>
      <c r="BF356" s="590">
        <v>35</v>
      </c>
      <c r="BG356" s="591">
        <f t="shared" si="193"/>
        <v>44927</v>
      </c>
      <c r="BH356" s="590">
        <f>(SUM(AC350:AO350)/BA350)*100</f>
        <v>69.8669815521082</v>
      </c>
      <c r="BI356" s="590">
        <f t="shared" si="191"/>
        <v>3.1330184478918</v>
      </c>
      <c r="BJ356" s="83"/>
    </row>
    <row r="357" spans="1:62">
      <c r="F357" s="95" t="s">
        <v>1163</v>
      </c>
      <c r="G357" s="95"/>
      <c r="H357" s="95"/>
      <c r="I357" s="95"/>
      <c r="J357" s="95"/>
      <c r="K357" s="95"/>
      <c r="L357" s="83"/>
      <c r="BC357" s="588">
        <v>10</v>
      </c>
      <c r="BD357" s="588" t="s">
        <v>1192</v>
      </c>
      <c r="BE357" s="589">
        <v>79</v>
      </c>
      <c r="BF357" s="590">
        <v>42</v>
      </c>
      <c r="BG357" s="591">
        <f t="shared" si="193"/>
        <v>45139</v>
      </c>
      <c r="BH357" s="590">
        <f>(SUM(AC350:AQ350)/BA350)*100</f>
        <v>77.107960809857673</v>
      </c>
      <c r="BI357" s="590">
        <f t="shared" si="191"/>
        <v>1.8920391901423272</v>
      </c>
      <c r="BJ357" s="83"/>
    </row>
    <row r="358" spans="1:62">
      <c r="A358" s="16"/>
      <c r="B358" s="94"/>
      <c r="C358" s="16"/>
      <c r="F358" s="95" t="s">
        <v>1164</v>
      </c>
      <c r="G358" s="95" t="s">
        <v>1165</v>
      </c>
      <c r="H358" s="95" t="s">
        <v>1193</v>
      </c>
      <c r="I358" s="95" t="s">
        <v>1167</v>
      </c>
      <c r="J358" s="95"/>
      <c r="K358" s="95" t="s">
        <v>1168</v>
      </c>
      <c r="L358" s="83"/>
      <c r="BC358" s="588">
        <v>11</v>
      </c>
      <c r="BD358" s="588" t="s">
        <v>1194</v>
      </c>
      <c r="BE358" s="589">
        <v>83</v>
      </c>
      <c r="BF358" s="590">
        <v>47</v>
      </c>
      <c r="BG358" s="591">
        <f t="shared" si="193"/>
        <v>45292</v>
      </c>
      <c r="BH358" s="590">
        <f>(SUM(AC350:AS350)/BA350)*100</f>
        <v>81.210632797268005</v>
      </c>
      <c r="BI358" s="590">
        <f t="shared" si="191"/>
        <v>1.7893672027319951</v>
      </c>
      <c r="BJ358" s="83"/>
    </row>
    <row r="359" spans="1:62">
      <c r="A359" s="16"/>
      <c r="B359" s="94"/>
      <c r="C359" s="16"/>
      <c r="F359" s="95">
        <v>1</v>
      </c>
      <c r="G359" s="95">
        <v>20</v>
      </c>
      <c r="H359" s="598">
        <v>43862</v>
      </c>
      <c r="I359" s="95"/>
      <c r="J359" s="95">
        <v>0</v>
      </c>
      <c r="K359" s="95">
        <f t="shared" ref="K359:K373" si="194">G359-J359</f>
        <v>20</v>
      </c>
      <c r="L359" s="83"/>
      <c r="BC359" s="588">
        <v>12</v>
      </c>
      <c r="BD359" s="588" t="s">
        <v>1192</v>
      </c>
      <c r="BE359" s="589">
        <v>90</v>
      </c>
      <c r="BF359" s="590">
        <v>54</v>
      </c>
      <c r="BG359" s="591">
        <f t="shared" si="193"/>
        <v>45505</v>
      </c>
      <c r="BH359" s="590">
        <f>(SUM(AC350:AU350)/BA350)*100</f>
        <v>85.458468701511634</v>
      </c>
      <c r="BI359" s="590">
        <f t="shared" si="191"/>
        <v>4.5415312984883656</v>
      </c>
      <c r="BJ359" s="83"/>
    </row>
    <row r="360" spans="1:62">
      <c r="A360" s="16"/>
      <c r="B360" s="94"/>
      <c r="C360" s="16"/>
      <c r="F360" s="95">
        <v>2</v>
      </c>
      <c r="G360" s="95">
        <v>23</v>
      </c>
      <c r="H360" s="598">
        <v>44197</v>
      </c>
      <c r="I360" s="95"/>
      <c r="J360" s="95">
        <f>(H350+I350)/U350*100</f>
        <v>11.817466031526198</v>
      </c>
      <c r="K360" s="95">
        <f t="shared" si="194"/>
        <v>11.182533968473802</v>
      </c>
      <c r="L360" s="83"/>
      <c r="BC360" s="588">
        <v>13</v>
      </c>
      <c r="BD360" s="588" t="s">
        <v>1195</v>
      </c>
      <c r="BE360" s="589">
        <v>93</v>
      </c>
      <c r="BF360" s="590">
        <v>57</v>
      </c>
      <c r="BG360" s="591">
        <f t="shared" si="193"/>
        <v>45597</v>
      </c>
      <c r="BH360" s="590">
        <f>(SUM(AC350:AV350)/BA350)*100</f>
        <v>90.277129898509273</v>
      </c>
      <c r="BI360" s="590">
        <f t="shared" si="191"/>
        <v>2.7228701014907273</v>
      </c>
      <c r="BJ360" s="83"/>
    </row>
    <row r="361" spans="1:62">
      <c r="A361" s="16"/>
      <c r="B361" s="94"/>
      <c r="C361" s="16"/>
      <c r="F361" s="95">
        <v>3</v>
      </c>
      <c r="G361" s="95">
        <v>26</v>
      </c>
      <c r="H361" s="598">
        <v>44317</v>
      </c>
      <c r="I361" s="95"/>
      <c r="J361" s="95">
        <f>(H350+I350)/U350*100+(J350*4/6)/U350*100</f>
        <v>24.216495884877467</v>
      </c>
      <c r="K361" s="95">
        <f t="shared" si="194"/>
        <v>1.7835041151225326</v>
      </c>
      <c r="L361" s="83"/>
      <c r="BC361" s="588">
        <v>14</v>
      </c>
      <c r="BD361" s="588" t="s">
        <v>1196</v>
      </c>
      <c r="BE361" s="589">
        <v>97</v>
      </c>
      <c r="BF361" s="590">
        <v>63</v>
      </c>
      <c r="BG361" s="591">
        <f t="shared" si="193"/>
        <v>45778</v>
      </c>
      <c r="BH361" s="590">
        <f>(SUM(AC350:AX350)/BA350)*100</f>
        <v>95.428417998649422</v>
      </c>
      <c r="BI361" s="590">
        <f t="shared" si="191"/>
        <v>1.5715820013505777</v>
      </c>
      <c r="BJ361" s="83"/>
    </row>
    <row r="362" spans="1:62">
      <c r="A362" s="16"/>
      <c r="B362" s="94"/>
      <c r="C362" s="16"/>
      <c r="F362" s="95">
        <v>4</v>
      </c>
      <c r="G362" s="95">
        <v>29</v>
      </c>
      <c r="H362" s="598">
        <v>44348</v>
      </c>
      <c r="I362" s="95"/>
      <c r="J362" s="95">
        <f>J360+(J350*5/6)/U350*100</f>
        <v>27.316253348215287</v>
      </c>
      <c r="K362" s="95">
        <f t="shared" si="194"/>
        <v>1.6837466517847126</v>
      </c>
      <c r="L362" s="83"/>
      <c r="BC362" s="588">
        <v>15</v>
      </c>
      <c r="BD362" s="588" t="s">
        <v>1197</v>
      </c>
      <c r="BE362" s="589">
        <v>100</v>
      </c>
      <c r="BF362" s="590">
        <v>71</v>
      </c>
      <c r="BG362" s="591">
        <f t="shared" si="193"/>
        <v>46023</v>
      </c>
      <c r="BH362" s="590">
        <f>(SUM(AC350:AZ350)/BA350)*100</f>
        <v>100</v>
      </c>
      <c r="BI362" s="590">
        <f t="shared" si="191"/>
        <v>0</v>
      </c>
      <c r="BJ362" s="83"/>
    </row>
    <row r="363" spans="1:62">
      <c r="A363" s="16"/>
      <c r="B363" s="94"/>
      <c r="C363" s="16"/>
      <c r="F363" s="95">
        <v>5</v>
      </c>
      <c r="G363" s="95">
        <v>48</v>
      </c>
      <c r="H363" s="598">
        <v>44531</v>
      </c>
      <c r="I363" s="95"/>
      <c r="J363" s="95">
        <f>(H350+I350+J350)/U350*100+K350*5/6/U350*100</f>
        <v>45.729551686951133</v>
      </c>
      <c r="K363" s="95">
        <f t="shared" si="194"/>
        <v>2.2704483130488669</v>
      </c>
      <c r="L363" s="83"/>
    </row>
    <row r="364" spans="1:62">
      <c r="A364" s="16"/>
      <c r="B364" s="94"/>
      <c r="C364" s="16"/>
      <c r="F364" s="95">
        <v>6</v>
      </c>
      <c r="G364" s="95">
        <v>53</v>
      </c>
      <c r="H364" s="598">
        <v>44593</v>
      </c>
      <c r="I364" s="95"/>
      <c r="J364" s="95">
        <f>(H350+I350+J350+K350)/U350*100+L350/U350/6*100</f>
        <v>51.256249208637499</v>
      </c>
      <c r="K364" s="95">
        <f t="shared" si="194"/>
        <v>1.7437507913625012</v>
      </c>
      <c r="L364" s="83"/>
    </row>
    <row r="365" spans="1:62">
      <c r="A365" s="16"/>
      <c r="B365" s="94"/>
      <c r="C365" s="16"/>
      <c r="F365" s="95">
        <v>7</v>
      </c>
      <c r="G365" s="95">
        <v>62</v>
      </c>
      <c r="H365" s="598">
        <v>44774</v>
      </c>
      <c r="I365" s="95"/>
      <c r="J365" s="95">
        <f>(H350+I350+J350+K350+L350)/U350*100</f>
        <v>63.576195941671266</v>
      </c>
      <c r="K365" s="95">
        <f t="shared" si="194"/>
        <v>-1.5761959416712656</v>
      </c>
      <c r="L365" s="83"/>
    </row>
    <row r="366" spans="1:62">
      <c r="A366" s="16"/>
      <c r="B366" s="94"/>
      <c r="C366" s="16"/>
      <c r="F366" s="95">
        <v>8</v>
      </c>
      <c r="G366" s="95">
        <v>67</v>
      </c>
      <c r="H366" s="598">
        <v>44927</v>
      </c>
      <c r="I366" s="95"/>
      <c r="J366" s="95">
        <f>(H350+I350+J350+K350+L350+M350)/U350*100</f>
        <v>72.807077540065038</v>
      </c>
      <c r="K366" s="95">
        <f t="shared" si="194"/>
        <v>-5.8070775400650376</v>
      </c>
      <c r="L366" s="83"/>
    </row>
    <row r="367" spans="1:62">
      <c r="A367" s="16"/>
      <c r="B367" s="94"/>
      <c r="C367" s="16"/>
      <c r="F367" s="95">
        <v>9</v>
      </c>
      <c r="G367" s="95">
        <v>72</v>
      </c>
      <c r="H367" s="598">
        <v>44927</v>
      </c>
      <c r="I367" s="95"/>
      <c r="J367" s="95">
        <f>J366</f>
        <v>72.807077540065038</v>
      </c>
      <c r="K367" s="95">
        <f t="shared" si="194"/>
        <v>-0.80707754006503762</v>
      </c>
      <c r="L367" s="83"/>
    </row>
    <row r="368" spans="1:62">
      <c r="A368" s="16"/>
      <c r="B368" s="94"/>
      <c r="C368" s="16"/>
      <c r="F368" s="95">
        <v>10</v>
      </c>
      <c r="G368" s="95">
        <v>78</v>
      </c>
      <c r="H368" s="598">
        <v>45139</v>
      </c>
      <c r="I368" s="95"/>
      <c r="J368" s="95">
        <f>(H350+I350+J350+K350+L350+M350+N350)/U350*100+O350/U350*1/6*100</f>
        <v>78.853495957795928</v>
      </c>
      <c r="K368" s="95">
        <f t="shared" si="194"/>
        <v>-0.85349595779592846</v>
      </c>
      <c r="L368" s="83"/>
    </row>
    <row r="369" spans="1:17">
      <c r="A369" s="16"/>
      <c r="B369" s="94"/>
      <c r="C369" s="16"/>
      <c r="F369" s="95">
        <v>11</v>
      </c>
      <c r="G369" s="95">
        <v>82</v>
      </c>
      <c r="H369" s="598">
        <v>45292</v>
      </c>
      <c r="I369" s="95"/>
      <c r="J369" s="95">
        <f>(H350+I350+J350+K350+L350+M350+N350+O350)/U350*100</f>
        <v>82.819465530634361</v>
      </c>
      <c r="K369" s="95">
        <f t="shared" si="194"/>
        <v>-0.81946553063436056</v>
      </c>
      <c r="L369" s="83"/>
    </row>
    <row r="370" spans="1:17">
      <c r="A370" s="16"/>
      <c r="B370" s="94"/>
      <c r="C370" s="16"/>
      <c r="F370" s="95">
        <v>12</v>
      </c>
      <c r="G370" s="95">
        <v>89</v>
      </c>
      <c r="H370" s="598">
        <v>45505</v>
      </c>
      <c r="I370" s="95"/>
      <c r="J370" s="95">
        <f>(H350+I350+J350+K350+L350+M350+N350+O350+P350)/U350*100+Q350/U350/6*100</f>
        <v>90.231332043532234</v>
      </c>
      <c r="K370" s="95">
        <f t="shared" si="194"/>
        <v>-1.2313320435322339</v>
      </c>
      <c r="L370" s="83"/>
    </row>
    <row r="371" spans="1:17">
      <c r="A371" s="16"/>
      <c r="B371" s="94"/>
      <c r="C371" s="16"/>
      <c r="F371" s="95">
        <v>13</v>
      </c>
      <c r="G371" s="95">
        <v>92</v>
      </c>
      <c r="H371" s="598">
        <v>45597</v>
      </c>
      <c r="I371" s="95"/>
      <c r="J371" s="95">
        <f>(H350+I350+J350+K350+L350+M350+N350+O350+P350)/U350*100+Q350/U350*4/6*100</f>
        <v>92.9608081412307</v>
      </c>
      <c r="K371" s="95">
        <f t="shared" si="194"/>
        <v>-0.96080814123070013</v>
      </c>
      <c r="L371" s="83"/>
    </row>
    <row r="372" spans="1:17">
      <c r="A372" s="16"/>
      <c r="B372" s="94"/>
      <c r="C372" s="16"/>
      <c r="F372" s="95">
        <v>14</v>
      </c>
      <c r="G372" s="95">
        <v>96</v>
      </c>
      <c r="H372" s="598">
        <v>45778</v>
      </c>
      <c r="I372" s="95"/>
      <c r="J372" s="95">
        <f>(H350+I350+J350+K350+L350+M350+N350+O350+P350+Q350)/U350*100+R350/U350*4/6*100</f>
        <v>96.572692226651469</v>
      </c>
      <c r="K372" s="95">
        <f t="shared" si="194"/>
        <v>-0.57269222665146913</v>
      </c>
      <c r="L372" s="83"/>
    </row>
    <row r="373" spans="1:17">
      <c r="A373" s="16"/>
      <c r="B373" s="94"/>
      <c r="C373" s="16"/>
      <c r="F373" s="95">
        <v>15</v>
      </c>
      <c r="G373" s="95">
        <v>100</v>
      </c>
      <c r="H373" s="598">
        <v>46022</v>
      </c>
      <c r="I373" s="95"/>
      <c r="J373" s="95">
        <f>(H350+I350+J350+K350+L350+M350+N350+O350+P350+Q350+R350+S350)/U350*100</f>
        <v>100</v>
      </c>
      <c r="K373" s="95">
        <f t="shared" si="194"/>
        <v>0</v>
      </c>
      <c r="L373" s="83"/>
    </row>
    <row r="374" spans="1:17">
      <c r="A374" s="16"/>
      <c r="B374" s="94"/>
      <c r="C374" s="16"/>
      <c r="F374" s="16"/>
      <c r="G374" s="16"/>
      <c r="H374" s="16"/>
      <c r="I374" s="16"/>
      <c r="J374" s="16"/>
      <c r="K374" s="16"/>
    </row>
    <row r="375" spans="1:17">
      <c r="A375" s="16"/>
      <c r="B375" s="94"/>
      <c r="C375" s="16"/>
      <c r="F375" s="16"/>
      <c r="G375" s="16"/>
      <c r="H375" s="16"/>
      <c r="I375" s="16"/>
      <c r="J375" s="16"/>
      <c r="K375" s="16"/>
    </row>
    <row r="376" spans="1:17">
      <c r="A376" s="96" t="s">
        <v>1198</v>
      </c>
      <c r="B376" s="97"/>
      <c r="C376" s="96"/>
      <c r="D376" s="85" t="s">
        <v>1199</v>
      </c>
      <c r="E376" s="85"/>
      <c r="F376" s="96"/>
      <c r="G376" s="96"/>
      <c r="H376" s="96"/>
      <c r="I376" s="96"/>
      <c r="J376" s="96"/>
      <c r="K376" s="96"/>
      <c r="L376" s="85"/>
      <c r="M376" s="85"/>
      <c r="N376" s="85"/>
      <c r="O376" s="85"/>
      <c r="P376" s="85"/>
      <c r="Q376" s="85"/>
    </row>
    <row r="377" spans="1:17">
      <c r="A377" s="85"/>
      <c r="B377" s="86"/>
      <c r="C377" s="85"/>
      <c r="D377" s="85"/>
      <c r="E377" s="85"/>
      <c r="F377" s="85"/>
      <c r="G377" s="85"/>
      <c r="H377" s="599"/>
      <c r="I377" s="85"/>
      <c r="J377" s="85"/>
      <c r="K377" s="85"/>
      <c r="L377" s="85"/>
      <c r="M377" s="85"/>
      <c r="N377" s="85"/>
      <c r="O377" s="85"/>
      <c r="P377" s="85"/>
      <c r="Q377" s="85"/>
    </row>
    <row r="378" spans="1:17">
      <c r="A378" s="96" t="s">
        <v>157</v>
      </c>
      <c r="B378" s="86"/>
      <c r="C378" s="85"/>
      <c r="D378" s="85" t="s">
        <v>1200</v>
      </c>
      <c r="E378" s="85" t="s">
        <v>1201</v>
      </c>
      <c r="F378" s="85"/>
      <c r="G378" s="85"/>
      <c r="H378" s="599"/>
      <c r="I378" s="85"/>
      <c r="J378" s="85"/>
      <c r="K378" s="85"/>
      <c r="L378" s="85"/>
      <c r="M378" s="85"/>
      <c r="N378" s="85"/>
      <c r="O378" s="85"/>
      <c r="P378" s="85"/>
      <c r="Q378" s="85"/>
    </row>
    <row r="379" spans="1:17">
      <c r="A379" s="85"/>
      <c r="B379" s="86"/>
      <c r="C379" s="85"/>
      <c r="D379" s="85"/>
      <c r="E379" s="85"/>
      <c r="F379" s="85"/>
      <c r="G379" s="85"/>
      <c r="H379" s="599"/>
      <c r="I379" s="85"/>
      <c r="J379" s="85"/>
      <c r="K379" s="85"/>
      <c r="L379" s="85"/>
      <c r="M379" s="85"/>
      <c r="N379" s="85"/>
      <c r="O379" s="85"/>
      <c r="P379" s="85"/>
      <c r="Q379" s="85"/>
    </row>
    <row r="380" spans="1:17">
      <c r="A380" s="85" t="s">
        <v>1202</v>
      </c>
      <c r="B380" s="98" t="s">
        <v>1203</v>
      </c>
      <c r="C380" s="98"/>
      <c r="D380" s="85"/>
      <c r="E380" s="85"/>
      <c r="F380" s="85"/>
      <c r="G380" s="85"/>
      <c r="H380" s="599"/>
      <c r="I380" s="85"/>
      <c r="J380" s="85"/>
      <c r="K380" s="85"/>
      <c r="L380" s="85"/>
      <c r="M380" s="85"/>
      <c r="N380" s="85"/>
      <c r="O380" s="85"/>
      <c r="P380" s="85"/>
      <c r="Q380" s="600"/>
    </row>
    <row r="381" spans="1:17">
      <c r="A381" s="85"/>
      <c r="B381" s="99" t="s">
        <v>1204</v>
      </c>
      <c r="C381" s="99"/>
      <c r="D381" s="85"/>
      <c r="E381" s="85">
        <v>20</v>
      </c>
      <c r="F381" s="85"/>
      <c r="G381" s="85"/>
      <c r="H381" s="599"/>
      <c r="I381" s="85"/>
      <c r="J381" s="85"/>
      <c r="K381" s="85"/>
      <c r="L381" s="85"/>
      <c r="M381" s="85"/>
      <c r="N381" s="85"/>
      <c r="O381" s="85"/>
      <c r="P381" s="85"/>
      <c r="Q381" s="85"/>
    </row>
    <row r="382" spans="1:17">
      <c r="A382" s="85"/>
      <c r="B382" s="99" t="s">
        <v>1205</v>
      </c>
      <c r="C382" s="99"/>
      <c r="D382" s="85">
        <v>14</v>
      </c>
      <c r="E382" s="85"/>
      <c r="F382" s="85"/>
      <c r="G382" s="85"/>
      <c r="H382" s="599"/>
      <c r="I382" s="85"/>
      <c r="J382" s="85"/>
      <c r="K382" s="85"/>
      <c r="L382" s="85"/>
      <c r="M382" s="85"/>
      <c r="N382" s="85"/>
      <c r="O382" s="85"/>
      <c r="P382" s="85"/>
      <c r="Q382" s="85"/>
    </row>
    <row r="383" spans="1:17">
      <c r="A383" s="85"/>
      <c r="B383" s="99" t="s">
        <v>1206</v>
      </c>
      <c r="C383" s="99"/>
      <c r="D383" s="85">
        <v>1.6</v>
      </c>
      <c r="E383" s="85"/>
      <c r="F383" s="85"/>
      <c r="G383" s="85"/>
      <c r="H383" s="599"/>
      <c r="I383" s="85"/>
      <c r="J383" s="85"/>
      <c r="K383" s="85"/>
      <c r="L383" s="85"/>
      <c r="M383" s="85"/>
      <c r="N383" s="85"/>
      <c r="O383" s="85"/>
      <c r="P383" s="85"/>
      <c r="Q383" s="85"/>
    </row>
    <row r="384" spans="1:17">
      <c r="A384" s="85"/>
      <c r="B384" s="99" t="s">
        <v>1207</v>
      </c>
      <c r="C384" s="99"/>
      <c r="D384" s="85">
        <v>32</v>
      </c>
      <c r="E384" s="85"/>
      <c r="F384" s="85"/>
      <c r="G384" s="85"/>
      <c r="H384" s="599"/>
      <c r="I384" s="85"/>
      <c r="J384" s="85"/>
      <c r="K384" s="85"/>
      <c r="L384" s="85"/>
      <c r="M384" s="85"/>
      <c r="N384" s="85"/>
      <c r="O384" s="85"/>
      <c r="P384" s="85"/>
      <c r="Q384" s="85"/>
    </row>
    <row r="385" spans="1:17">
      <c r="A385" s="85"/>
      <c r="B385" s="99" t="s">
        <v>1208</v>
      </c>
      <c r="C385" s="99"/>
      <c r="D385" s="85">
        <v>51</v>
      </c>
      <c r="E385" s="85"/>
      <c r="F385" s="85"/>
      <c r="G385" s="85"/>
      <c r="H385" s="599"/>
      <c r="I385" s="85"/>
      <c r="J385" s="85"/>
      <c r="K385" s="85"/>
      <c r="L385" s="85"/>
      <c r="M385" s="85"/>
      <c r="N385" s="85"/>
      <c r="O385" s="85"/>
      <c r="P385" s="85"/>
      <c r="Q385" s="85"/>
    </row>
    <row r="386" spans="1:17">
      <c r="A386" s="85"/>
      <c r="B386" s="99" t="s">
        <v>1209</v>
      </c>
      <c r="C386" s="99"/>
      <c r="D386" s="85">
        <f>SUM(D382:D385)</f>
        <v>98.6</v>
      </c>
      <c r="E386" s="85">
        <f>E381</f>
        <v>20</v>
      </c>
      <c r="F386" s="85">
        <f>D386+E386</f>
        <v>118.6</v>
      </c>
      <c r="G386" s="85"/>
      <c r="H386" s="85"/>
      <c r="I386" s="85"/>
      <c r="J386" s="85">
        <f>0.25*F386</f>
        <v>29.65</v>
      </c>
      <c r="K386" s="85">
        <f>0.5*F386</f>
        <v>59.3</v>
      </c>
      <c r="L386" s="85">
        <f>0.25*F386</f>
        <v>29.65</v>
      </c>
      <c r="M386" s="85"/>
      <c r="N386" s="85"/>
      <c r="O386" s="85"/>
      <c r="P386" s="85"/>
      <c r="Q386" s="85"/>
    </row>
    <row r="387" spans="1:17">
      <c r="A387" s="85"/>
      <c r="B387" s="99"/>
      <c r="C387" s="99"/>
      <c r="D387" s="85"/>
      <c r="E387" s="85"/>
      <c r="F387" s="85"/>
      <c r="G387" s="85"/>
      <c r="H387" s="85"/>
      <c r="I387" s="85"/>
      <c r="J387" s="85"/>
      <c r="K387" s="85"/>
      <c r="L387" s="85"/>
      <c r="M387" s="85"/>
      <c r="N387" s="85"/>
      <c r="O387" s="85"/>
      <c r="P387" s="85"/>
      <c r="Q387" s="85"/>
    </row>
    <row r="388" spans="1:17">
      <c r="A388" s="85" t="s">
        <v>1210</v>
      </c>
      <c r="B388" s="98" t="s">
        <v>1211</v>
      </c>
      <c r="C388" s="98"/>
      <c r="D388" s="85"/>
      <c r="E388" s="85"/>
      <c r="F388" s="85"/>
      <c r="G388" s="85"/>
      <c r="H388" s="85"/>
      <c r="I388" s="85"/>
      <c r="J388" s="85"/>
      <c r="K388" s="85"/>
      <c r="L388" s="85"/>
      <c r="M388" s="85"/>
      <c r="N388" s="85"/>
      <c r="O388" s="85"/>
      <c r="P388" s="85"/>
      <c r="Q388" s="85"/>
    </row>
    <row r="389" spans="1:17">
      <c r="A389" s="85"/>
      <c r="B389" s="99" t="s">
        <v>1212</v>
      </c>
      <c r="C389" s="99"/>
      <c r="D389" s="85"/>
      <c r="E389" s="85">
        <v>29</v>
      </c>
      <c r="F389" s="85"/>
      <c r="G389" s="85"/>
      <c r="H389" s="85"/>
      <c r="I389" s="85"/>
      <c r="J389" s="85"/>
      <c r="K389" s="85"/>
      <c r="L389" s="85"/>
      <c r="M389" s="85"/>
      <c r="N389" s="85"/>
      <c r="O389" s="85"/>
      <c r="P389" s="85"/>
      <c r="Q389" s="85"/>
    </row>
    <row r="390" spans="1:17">
      <c r="A390" s="85"/>
      <c r="B390" s="99" t="s">
        <v>1213</v>
      </c>
      <c r="C390" s="99"/>
      <c r="D390" s="85">
        <v>17</v>
      </c>
      <c r="E390" s="85"/>
      <c r="F390" s="85"/>
      <c r="G390" s="85"/>
      <c r="H390" s="85"/>
      <c r="I390" s="85"/>
      <c r="J390" s="85"/>
      <c r="K390" s="85"/>
      <c r="L390" s="85"/>
      <c r="M390" s="85"/>
      <c r="N390" s="85"/>
      <c r="O390" s="85"/>
      <c r="P390" s="85"/>
      <c r="Q390" s="85"/>
    </row>
    <row r="391" spans="1:17">
      <c r="A391" s="85"/>
      <c r="B391" s="99" t="s">
        <v>1214</v>
      </c>
      <c r="C391" s="99"/>
      <c r="D391" s="85">
        <v>1</v>
      </c>
      <c r="E391" s="85"/>
      <c r="F391" s="85"/>
      <c r="G391" s="85"/>
      <c r="H391" s="85"/>
      <c r="I391" s="85"/>
      <c r="J391" s="85"/>
      <c r="K391" s="85"/>
      <c r="L391" s="85"/>
      <c r="M391" s="85"/>
      <c r="N391" s="85"/>
      <c r="O391" s="85"/>
      <c r="P391" s="85"/>
      <c r="Q391" s="85"/>
    </row>
    <row r="392" spans="1:17">
      <c r="A392" s="85"/>
      <c r="B392" s="99" t="s">
        <v>1215</v>
      </c>
      <c r="C392" s="99"/>
      <c r="D392" s="85"/>
      <c r="E392" s="85">
        <v>22</v>
      </c>
      <c r="F392" s="85"/>
      <c r="G392" s="85"/>
      <c r="H392" s="85"/>
      <c r="I392" s="85"/>
      <c r="J392" s="85"/>
      <c r="K392" s="85"/>
      <c r="L392" s="85"/>
      <c r="M392" s="85"/>
      <c r="N392" s="85"/>
      <c r="O392" s="85"/>
      <c r="P392" s="85"/>
      <c r="Q392" s="85"/>
    </row>
    <row r="393" spans="1:17">
      <c r="A393" s="85"/>
      <c r="B393" s="99" t="s">
        <v>1216</v>
      </c>
      <c r="C393" s="99"/>
      <c r="D393" s="85">
        <f>SUM(D390:D392)</f>
        <v>18</v>
      </c>
      <c r="E393" s="85">
        <f>SUM(E389:E392)</f>
        <v>51</v>
      </c>
      <c r="F393" s="85">
        <f>SUM(D393:E393)</f>
        <v>69</v>
      </c>
      <c r="G393" s="85"/>
      <c r="H393" s="85"/>
      <c r="I393" s="85"/>
      <c r="J393" s="85">
        <f>0.25*F393</f>
        <v>17.25</v>
      </c>
      <c r="K393" s="85">
        <f>0.5*F393</f>
        <v>34.5</v>
      </c>
      <c r="L393" s="85">
        <f>0.25*F393</f>
        <v>17.25</v>
      </c>
      <c r="M393" s="85"/>
      <c r="N393" s="85"/>
      <c r="O393" s="85"/>
      <c r="P393" s="85"/>
      <c r="Q393" s="85"/>
    </row>
    <row r="394" spans="1:17">
      <c r="A394" s="85"/>
      <c r="B394" s="99"/>
      <c r="C394" s="99"/>
      <c r="D394" s="85"/>
      <c r="E394" s="85"/>
      <c r="F394" s="85"/>
      <c r="G394" s="85"/>
      <c r="H394" s="85"/>
      <c r="I394" s="85"/>
      <c r="J394" s="85"/>
      <c r="K394" s="85"/>
      <c r="L394" s="85"/>
      <c r="M394" s="85"/>
      <c r="N394" s="85"/>
      <c r="O394" s="85"/>
      <c r="P394" s="85"/>
      <c r="Q394" s="85"/>
    </row>
    <row r="395" spans="1:17">
      <c r="A395" s="85" t="s">
        <v>1217</v>
      </c>
      <c r="B395" s="98" t="s">
        <v>1218</v>
      </c>
      <c r="C395" s="99"/>
      <c r="D395" s="85"/>
      <c r="E395" s="85"/>
      <c r="F395" s="85"/>
      <c r="G395" s="85"/>
      <c r="H395" s="85"/>
      <c r="I395" s="85"/>
      <c r="J395" s="85"/>
      <c r="K395" s="85"/>
      <c r="L395" s="85"/>
      <c r="M395" s="85"/>
      <c r="N395" s="85"/>
      <c r="O395" s="85"/>
      <c r="P395" s="85"/>
      <c r="Q395" s="85"/>
    </row>
    <row r="396" spans="1:17">
      <c r="A396" s="85"/>
      <c r="B396" s="99" t="s">
        <v>1219</v>
      </c>
      <c r="C396" s="99"/>
      <c r="D396" s="85"/>
      <c r="E396" s="85">
        <v>55</v>
      </c>
      <c r="F396" s="85"/>
      <c r="G396" s="85"/>
      <c r="H396" s="85"/>
      <c r="I396" s="85"/>
      <c r="J396" s="85"/>
      <c r="K396" s="85"/>
      <c r="L396" s="85"/>
      <c r="M396" s="85"/>
      <c r="N396" s="85"/>
      <c r="O396" s="85"/>
      <c r="P396" s="85"/>
      <c r="Q396" s="85"/>
    </row>
    <row r="397" spans="1:17">
      <c r="A397" s="85"/>
      <c r="B397" s="99" t="s">
        <v>1220</v>
      </c>
      <c r="C397" s="99"/>
      <c r="D397" s="85">
        <v>19</v>
      </c>
      <c r="E397" s="85"/>
      <c r="F397" s="85"/>
      <c r="G397" s="85"/>
      <c r="H397" s="85"/>
      <c r="I397" s="85"/>
      <c r="J397" s="85"/>
      <c r="K397" s="85"/>
      <c r="L397" s="85"/>
      <c r="M397" s="85"/>
      <c r="N397" s="85"/>
      <c r="O397" s="85"/>
      <c r="P397" s="85"/>
      <c r="Q397" s="85"/>
    </row>
    <row r="398" spans="1:17">
      <c r="A398" s="85"/>
      <c r="B398" s="99" t="s">
        <v>1216</v>
      </c>
      <c r="C398" s="99"/>
      <c r="D398" s="85">
        <f>SUM(D397)</f>
        <v>19</v>
      </c>
      <c r="E398" s="85">
        <f>SUM(E396:E397)</f>
        <v>55</v>
      </c>
      <c r="F398" s="85">
        <f>SUM(D398:E398)</f>
        <v>74</v>
      </c>
      <c r="G398" s="85"/>
      <c r="H398" s="85"/>
      <c r="I398" s="85"/>
      <c r="J398" s="85">
        <f>D398</f>
        <v>19</v>
      </c>
      <c r="K398" s="85"/>
      <c r="L398" s="85">
        <f>E398</f>
        <v>55</v>
      </c>
      <c r="M398" s="85"/>
      <c r="N398" s="85"/>
      <c r="O398" s="85"/>
      <c r="P398" s="85"/>
      <c r="Q398" s="85"/>
    </row>
    <row r="399" spans="1:17">
      <c r="A399" s="85"/>
      <c r="B399" s="99"/>
      <c r="C399" s="99"/>
      <c r="D399" s="85"/>
      <c r="E399" s="85"/>
      <c r="F399" s="85"/>
      <c r="G399" s="85"/>
      <c r="H399" s="85"/>
      <c r="I399" s="85"/>
      <c r="J399" s="85"/>
      <c r="K399" s="85"/>
      <c r="L399" s="85"/>
      <c r="M399" s="85"/>
      <c r="N399" s="85"/>
      <c r="O399" s="85"/>
      <c r="P399" s="85"/>
      <c r="Q399" s="85"/>
    </row>
    <row r="400" spans="1:17">
      <c r="A400" s="85" t="s">
        <v>1221</v>
      </c>
      <c r="B400" s="98" t="s">
        <v>1222</v>
      </c>
      <c r="C400" s="99"/>
      <c r="D400" s="85"/>
      <c r="E400" s="85"/>
      <c r="F400" s="85"/>
      <c r="G400" s="85"/>
      <c r="H400" s="85"/>
      <c r="I400" s="85"/>
      <c r="J400" s="85"/>
      <c r="K400" s="85"/>
      <c r="L400" s="85"/>
      <c r="M400" s="85"/>
      <c r="N400" s="85"/>
      <c r="O400" s="85"/>
      <c r="P400" s="85"/>
      <c r="Q400" s="85"/>
    </row>
    <row r="401" spans="1:17">
      <c r="A401" s="85"/>
      <c r="B401" s="99" t="s">
        <v>1223</v>
      </c>
      <c r="C401" s="99"/>
      <c r="D401" s="85"/>
      <c r="E401" s="85">
        <v>520</v>
      </c>
      <c r="F401" s="85"/>
      <c r="G401" s="85"/>
      <c r="H401" s="85"/>
      <c r="I401" s="85"/>
      <c r="J401" s="85"/>
      <c r="K401" s="85"/>
      <c r="L401" s="85"/>
      <c r="M401" s="85"/>
      <c r="N401" s="85"/>
      <c r="O401" s="85"/>
      <c r="P401" s="85"/>
      <c r="Q401" s="85"/>
    </row>
    <row r="402" spans="1:17">
      <c r="A402" s="85"/>
      <c r="B402" s="99" t="s">
        <v>1224</v>
      </c>
      <c r="C402" s="99"/>
      <c r="D402" s="85"/>
      <c r="E402" s="85">
        <v>200</v>
      </c>
      <c r="F402" s="85"/>
      <c r="G402" s="85"/>
      <c r="H402" s="85"/>
      <c r="I402" s="85"/>
      <c r="J402" s="85"/>
      <c r="K402" s="85"/>
      <c r="L402" s="85"/>
      <c r="M402" s="85"/>
      <c r="N402" s="85"/>
      <c r="O402" s="85"/>
      <c r="P402" s="85"/>
      <c r="Q402" s="85"/>
    </row>
    <row r="403" spans="1:17">
      <c r="A403" s="85"/>
      <c r="B403" s="99" t="s">
        <v>1207</v>
      </c>
      <c r="C403" s="99"/>
      <c r="D403" s="85"/>
      <c r="E403" s="85">
        <v>100</v>
      </c>
      <c r="F403" s="85"/>
      <c r="G403" s="85"/>
      <c r="H403" s="85"/>
      <c r="I403" s="85"/>
      <c r="J403" s="85"/>
      <c r="K403" s="85"/>
      <c r="L403" s="85"/>
      <c r="M403" s="85"/>
      <c r="N403" s="85"/>
      <c r="O403" s="85"/>
      <c r="P403" s="85"/>
      <c r="Q403" s="85"/>
    </row>
    <row r="404" spans="1:17">
      <c r="A404" s="85"/>
      <c r="B404" s="99" t="s">
        <v>1225</v>
      </c>
      <c r="C404" s="99"/>
      <c r="D404" s="85">
        <v>40</v>
      </c>
      <c r="E404" s="85"/>
      <c r="F404" s="85"/>
      <c r="G404" s="85"/>
      <c r="H404" s="85"/>
      <c r="I404" s="85"/>
      <c r="J404" s="85"/>
      <c r="K404" s="85"/>
      <c r="L404" s="85"/>
      <c r="M404" s="85"/>
      <c r="N404" s="85"/>
      <c r="O404" s="85"/>
      <c r="P404" s="85"/>
      <c r="Q404" s="85"/>
    </row>
    <row r="405" spans="1:17">
      <c r="A405" s="85"/>
      <c r="B405" s="99" t="s">
        <v>1226</v>
      </c>
      <c r="C405" s="99"/>
      <c r="D405" s="85">
        <v>10</v>
      </c>
      <c r="E405" s="85"/>
      <c r="F405" s="85"/>
      <c r="G405" s="85"/>
      <c r="H405" s="85"/>
      <c r="I405" s="85"/>
      <c r="J405" s="85"/>
      <c r="K405" s="85"/>
      <c r="L405" s="85"/>
      <c r="M405" s="85"/>
      <c r="N405" s="85"/>
      <c r="O405" s="85"/>
      <c r="P405" s="85"/>
      <c r="Q405" s="85"/>
    </row>
    <row r="406" spans="1:17">
      <c r="A406" s="85"/>
      <c r="B406" s="99" t="s">
        <v>1227</v>
      </c>
      <c r="C406" s="99"/>
      <c r="D406" s="85">
        <v>218</v>
      </c>
      <c r="E406" s="85"/>
      <c r="F406" s="85"/>
      <c r="G406" s="85"/>
      <c r="H406" s="85"/>
      <c r="I406" s="85"/>
      <c r="J406" s="85"/>
      <c r="K406" s="85"/>
      <c r="L406" s="85"/>
      <c r="M406" s="85"/>
      <c r="N406" s="85"/>
      <c r="O406" s="85"/>
      <c r="P406" s="85"/>
      <c r="Q406" s="85"/>
    </row>
    <row r="407" spans="1:17">
      <c r="A407" s="85"/>
      <c r="B407" s="99" t="s">
        <v>1216</v>
      </c>
      <c r="C407" s="99"/>
      <c r="D407" s="85">
        <f>SUM(D404:D406)</f>
        <v>268</v>
      </c>
      <c r="E407" s="85">
        <f>SUM(E401:E406)</f>
        <v>820</v>
      </c>
      <c r="F407" s="85">
        <f>SUM(D407:E407)</f>
        <v>1088</v>
      </c>
      <c r="G407" s="85"/>
      <c r="H407" s="85"/>
      <c r="I407" s="85"/>
      <c r="J407" s="85">
        <f>0.2*F407</f>
        <v>217.60000000000002</v>
      </c>
      <c r="K407" s="85">
        <f>0.3*F407</f>
        <v>326.39999999999998</v>
      </c>
      <c r="L407" s="85">
        <f>0.3*F407</f>
        <v>326.39999999999998</v>
      </c>
      <c r="M407" s="85">
        <f>0.2*F407</f>
        <v>217.60000000000002</v>
      </c>
      <c r="N407" s="85"/>
      <c r="O407" s="85"/>
      <c r="P407" s="85"/>
      <c r="Q407" s="85"/>
    </row>
    <row r="408" spans="1:17">
      <c r="A408" s="85"/>
      <c r="B408" s="99"/>
      <c r="C408" s="99"/>
      <c r="D408" s="85"/>
      <c r="E408" s="85"/>
      <c r="F408" s="85"/>
      <c r="G408" s="85"/>
      <c r="H408" s="85"/>
      <c r="I408" s="85"/>
      <c r="J408" s="85"/>
      <c r="K408" s="85"/>
      <c r="L408" s="85"/>
      <c r="M408" s="85"/>
      <c r="N408" s="85"/>
      <c r="O408" s="85"/>
      <c r="P408" s="85"/>
      <c r="Q408" s="85"/>
    </row>
    <row r="409" spans="1:17">
      <c r="A409" s="85"/>
      <c r="B409" s="99" t="s">
        <v>1228</v>
      </c>
      <c r="C409" s="99"/>
      <c r="D409" s="85"/>
      <c r="E409" s="85">
        <v>105</v>
      </c>
      <c r="F409" s="85"/>
      <c r="G409" s="85"/>
      <c r="H409" s="85"/>
      <c r="I409" s="85"/>
      <c r="J409" s="85"/>
      <c r="K409" s="85"/>
      <c r="L409" s="85"/>
      <c r="M409" s="85"/>
      <c r="N409" s="85"/>
      <c r="O409" s="85"/>
      <c r="P409" s="85"/>
      <c r="Q409" s="85"/>
    </row>
    <row r="410" spans="1:17">
      <c r="A410" s="85"/>
      <c r="B410" s="99" t="s">
        <v>1229</v>
      </c>
      <c r="C410" s="99"/>
      <c r="D410" s="85"/>
      <c r="E410" s="85">
        <v>250</v>
      </c>
      <c r="F410" s="85"/>
      <c r="G410" s="85"/>
      <c r="H410" s="85"/>
      <c r="I410" s="85"/>
      <c r="J410" s="85"/>
      <c r="K410" s="85"/>
      <c r="L410" s="85"/>
      <c r="M410" s="85"/>
      <c r="N410" s="85"/>
      <c r="O410" s="85"/>
      <c r="P410" s="85"/>
      <c r="Q410" s="85"/>
    </row>
    <row r="411" spans="1:17">
      <c r="A411" s="85"/>
      <c r="B411" s="99" t="s">
        <v>1216</v>
      </c>
      <c r="C411" s="99"/>
      <c r="D411" s="85"/>
      <c r="E411" s="85">
        <f>SUM(E409:E410)</f>
        <v>355</v>
      </c>
      <c r="F411" s="85">
        <f>SUM(E411)</f>
        <v>355</v>
      </c>
      <c r="G411" s="85"/>
      <c r="H411" s="85"/>
      <c r="I411" s="85"/>
      <c r="J411" s="85"/>
      <c r="K411" s="85"/>
      <c r="L411" s="85"/>
      <c r="M411" s="85"/>
      <c r="N411" s="85"/>
      <c r="O411" s="85"/>
      <c r="P411" s="85">
        <f>0.5*F411</f>
        <v>177.5</v>
      </c>
      <c r="Q411" s="85">
        <f>0.5*F411</f>
        <v>177.5</v>
      </c>
    </row>
    <row r="412" spans="1:17">
      <c r="A412" s="85"/>
      <c r="B412" s="99"/>
      <c r="C412" s="99"/>
      <c r="D412" s="85"/>
      <c r="E412" s="85"/>
      <c r="F412" s="85"/>
      <c r="G412" s="85"/>
      <c r="H412" s="85"/>
      <c r="I412" s="85"/>
      <c r="J412" s="85"/>
      <c r="K412" s="85"/>
      <c r="L412" s="85"/>
      <c r="M412" s="85"/>
      <c r="N412" s="85"/>
      <c r="O412" s="85"/>
      <c r="P412" s="85"/>
      <c r="Q412" s="85"/>
    </row>
    <row r="413" spans="1:17">
      <c r="A413" s="85" t="s">
        <v>1230</v>
      </c>
      <c r="B413" s="98" t="s">
        <v>1231</v>
      </c>
      <c r="C413" s="99"/>
      <c r="D413" s="85"/>
      <c r="E413" s="85"/>
      <c r="F413" s="85"/>
      <c r="G413" s="85"/>
      <c r="H413" s="85"/>
      <c r="I413" s="85"/>
      <c r="J413" s="85"/>
      <c r="K413" s="85"/>
      <c r="L413" s="85"/>
      <c r="M413" s="85"/>
      <c r="N413" s="85"/>
      <c r="O413" s="85"/>
      <c r="P413" s="85"/>
      <c r="Q413" s="85"/>
    </row>
    <row r="414" spans="1:17">
      <c r="A414" s="85"/>
      <c r="B414" s="99" t="s">
        <v>1232</v>
      </c>
      <c r="C414" s="99"/>
      <c r="D414" s="85"/>
      <c r="E414" s="85">
        <v>70</v>
      </c>
      <c r="F414" s="85"/>
      <c r="G414" s="85"/>
      <c r="H414" s="85"/>
      <c r="I414" s="85"/>
      <c r="J414" s="85"/>
      <c r="K414" s="85"/>
      <c r="L414" s="85"/>
      <c r="M414" s="85"/>
      <c r="N414" s="85"/>
      <c r="O414" s="85"/>
      <c r="P414" s="85"/>
      <c r="Q414" s="85"/>
    </row>
    <row r="415" spans="1:17">
      <c r="A415" s="85"/>
      <c r="B415" s="99" t="s">
        <v>1214</v>
      </c>
      <c r="C415" s="99"/>
      <c r="D415" s="85">
        <v>10</v>
      </c>
      <c r="E415" s="85"/>
      <c r="F415" s="85"/>
      <c r="G415" s="85"/>
      <c r="H415" s="85"/>
      <c r="I415" s="85"/>
      <c r="J415" s="85"/>
      <c r="K415" s="85"/>
      <c r="L415" s="85"/>
      <c r="M415" s="85"/>
      <c r="N415" s="85"/>
      <c r="O415" s="85"/>
      <c r="P415" s="85"/>
      <c r="Q415" s="85"/>
    </row>
    <row r="416" spans="1:17">
      <c r="A416" s="85"/>
      <c r="B416" s="99" t="s">
        <v>1216</v>
      </c>
      <c r="C416" s="99"/>
      <c r="D416" s="85">
        <f>SUM(D415)</f>
        <v>10</v>
      </c>
      <c r="E416" s="85">
        <f>SUM(E414:E415)</f>
        <v>70</v>
      </c>
      <c r="F416" s="85">
        <f>SUM(D416:E416)</f>
        <v>80</v>
      </c>
      <c r="G416" s="85"/>
      <c r="H416" s="85"/>
      <c r="I416" s="85"/>
      <c r="J416" s="85"/>
      <c r="K416" s="85">
        <f>F416*0.5</f>
        <v>40</v>
      </c>
      <c r="L416" s="85">
        <f>0.5*F416</f>
        <v>40</v>
      </c>
      <c r="M416" s="85"/>
      <c r="N416" s="85"/>
      <c r="O416" s="85"/>
      <c r="P416" s="85"/>
      <c r="Q416" s="85"/>
    </row>
    <row r="417" spans="1:17">
      <c r="A417" s="85"/>
      <c r="B417" s="99"/>
      <c r="C417" s="99"/>
      <c r="D417" s="85"/>
      <c r="E417" s="85"/>
      <c r="F417" s="85"/>
      <c r="G417" s="85"/>
      <c r="H417" s="85"/>
      <c r="I417" s="85"/>
      <c r="J417" s="85"/>
      <c r="K417" s="85"/>
      <c r="L417" s="85"/>
      <c r="M417" s="85"/>
      <c r="N417" s="85"/>
      <c r="O417" s="85"/>
      <c r="P417" s="85"/>
      <c r="Q417" s="85"/>
    </row>
    <row r="418" spans="1:17">
      <c r="A418" s="85" t="s">
        <v>1233</v>
      </c>
      <c r="B418" s="98" t="s">
        <v>1234</v>
      </c>
      <c r="C418" s="98"/>
      <c r="D418" s="85"/>
      <c r="E418" s="85"/>
      <c r="F418" s="85"/>
      <c r="G418" s="85"/>
      <c r="H418" s="85"/>
      <c r="I418" s="85"/>
      <c r="J418" s="85"/>
      <c r="K418" s="85"/>
      <c r="L418" s="85"/>
      <c r="M418" s="85"/>
      <c r="N418" s="85"/>
      <c r="O418" s="85"/>
      <c r="P418" s="85"/>
      <c r="Q418" s="85"/>
    </row>
    <row r="419" spans="1:17">
      <c r="A419" s="85"/>
      <c r="B419" s="99" t="s">
        <v>1235</v>
      </c>
      <c r="C419" s="99"/>
      <c r="D419" s="85"/>
      <c r="E419" s="85">
        <v>475</v>
      </c>
      <c r="F419" s="85"/>
      <c r="G419" s="85"/>
      <c r="H419" s="85"/>
      <c r="I419" s="85"/>
      <c r="J419" s="85"/>
      <c r="K419" s="85"/>
      <c r="L419" s="85"/>
      <c r="M419" s="85"/>
      <c r="N419" s="85"/>
      <c r="O419" s="85"/>
      <c r="P419" s="85"/>
      <c r="Q419" s="85"/>
    </row>
    <row r="420" spans="1:17">
      <c r="A420" s="85"/>
      <c r="B420" s="99" t="s">
        <v>1236</v>
      </c>
      <c r="C420" s="99"/>
      <c r="D420" s="85">
        <v>475</v>
      </c>
      <c r="E420" s="85"/>
      <c r="F420" s="85"/>
      <c r="G420" s="85"/>
      <c r="H420" s="85"/>
      <c r="I420" s="85"/>
      <c r="J420" s="85"/>
      <c r="K420" s="85"/>
      <c r="L420" s="85"/>
      <c r="M420" s="85"/>
      <c r="N420" s="85"/>
      <c r="O420" s="85"/>
      <c r="P420" s="85"/>
      <c r="Q420" s="85"/>
    </row>
    <row r="421" spans="1:17">
      <c r="A421" s="85"/>
      <c r="B421" s="99" t="s">
        <v>1237</v>
      </c>
      <c r="C421" s="99"/>
      <c r="D421" s="85">
        <v>60</v>
      </c>
      <c r="E421" s="85"/>
      <c r="F421" s="85"/>
      <c r="G421" s="85"/>
      <c r="H421" s="85"/>
      <c r="I421" s="85"/>
      <c r="J421" s="85"/>
      <c r="K421" s="85"/>
      <c r="L421" s="85"/>
      <c r="M421" s="85"/>
      <c r="N421" s="85"/>
      <c r="O421" s="85"/>
      <c r="P421" s="85"/>
      <c r="Q421" s="85"/>
    </row>
    <row r="422" spans="1:17">
      <c r="A422" s="85"/>
      <c r="B422" s="99"/>
      <c r="C422" s="99"/>
      <c r="D422" s="85">
        <f>SUM(D420:D421)</f>
        <v>535</v>
      </c>
      <c r="E422" s="85">
        <f>SUM(E419:E421)</f>
        <v>475</v>
      </c>
      <c r="F422" s="85">
        <f>SUM(D422:E422)</f>
        <v>1010</v>
      </c>
      <c r="G422" s="85"/>
      <c r="H422" s="85"/>
      <c r="I422" s="85">
        <f>0.25*F422</f>
        <v>252.5</v>
      </c>
      <c r="J422" s="85">
        <f>0.25*F422</f>
        <v>252.5</v>
      </c>
      <c r="K422" s="85">
        <f>0.25*F422</f>
        <v>252.5</v>
      </c>
      <c r="L422" s="85">
        <f>0.25*F422</f>
        <v>252.5</v>
      </c>
      <c r="M422" s="85"/>
      <c r="N422" s="85"/>
      <c r="O422" s="85"/>
      <c r="P422" s="85"/>
      <c r="Q422" s="85"/>
    </row>
    <row r="423" spans="1:17">
      <c r="A423" s="96" t="s">
        <v>1238</v>
      </c>
      <c r="B423" s="99"/>
      <c r="C423" s="99"/>
      <c r="D423" s="85"/>
      <c r="E423" s="85"/>
      <c r="F423" s="85"/>
      <c r="G423" s="85"/>
      <c r="H423" s="85"/>
      <c r="I423" s="85"/>
      <c r="J423" s="85"/>
      <c r="K423" s="85"/>
      <c r="L423" s="85"/>
      <c r="M423" s="85"/>
      <c r="N423" s="85"/>
      <c r="O423" s="85"/>
      <c r="P423" s="85"/>
      <c r="Q423" s="85"/>
    </row>
    <row r="424" spans="1:17">
      <c r="A424" s="85" t="s">
        <v>1202</v>
      </c>
      <c r="B424" s="98" t="s">
        <v>1239</v>
      </c>
      <c r="C424" s="98"/>
      <c r="D424" s="85"/>
      <c r="E424" s="85"/>
      <c r="F424" s="85"/>
      <c r="G424" s="85"/>
      <c r="H424" s="85"/>
      <c r="I424" s="85"/>
      <c r="J424" s="85"/>
      <c r="K424" s="85"/>
      <c r="L424" s="85"/>
      <c r="M424" s="85"/>
      <c r="N424" s="85"/>
      <c r="O424" s="85"/>
      <c r="P424" s="85"/>
      <c r="Q424" s="85"/>
    </row>
    <row r="425" spans="1:17">
      <c r="A425" s="85"/>
      <c r="B425" s="99" t="s">
        <v>1240</v>
      </c>
      <c r="C425" s="99"/>
      <c r="D425" s="85"/>
      <c r="E425" s="85">
        <v>98</v>
      </c>
      <c r="F425" s="85"/>
      <c r="G425" s="85"/>
      <c r="H425" s="85"/>
      <c r="I425" s="85"/>
      <c r="J425" s="85"/>
      <c r="K425" s="85"/>
      <c r="L425" s="85"/>
      <c r="M425" s="85"/>
      <c r="N425" s="85"/>
      <c r="O425" s="85"/>
      <c r="P425" s="85"/>
      <c r="Q425" s="85"/>
    </row>
    <row r="426" spans="1:17">
      <c r="A426" s="85"/>
      <c r="B426" s="99" t="s">
        <v>1241</v>
      </c>
      <c r="C426" s="99"/>
      <c r="D426" s="85">
        <v>27</v>
      </c>
      <c r="E426" s="85"/>
      <c r="F426" s="85"/>
      <c r="G426" s="85"/>
      <c r="H426" s="85"/>
      <c r="I426" s="85"/>
      <c r="J426" s="85"/>
      <c r="K426" s="85"/>
      <c r="L426" s="85"/>
      <c r="M426" s="85"/>
      <c r="N426" s="85"/>
      <c r="O426" s="85"/>
      <c r="P426" s="85"/>
      <c r="Q426" s="85"/>
    </row>
    <row r="427" spans="1:17">
      <c r="A427" s="85"/>
      <c r="B427" s="99" t="s">
        <v>1242</v>
      </c>
      <c r="C427" s="99"/>
      <c r="D427" s="85">
        <v>22</v>
      </c>
      <c r="E427" s="85"/>
      <c r="F427" s="85"/>
      <c r="G427" s="85"/>
      <c r="H427" s="85"/>
      <c r="I427" s="85"/>
      <c r="J427" s="85"/>
      <c r="K427" s="85"/>
      <c r="L427" s="85"/>
      <c r="M427" s="85"/>
      <c r="N427" s="85"/>
      <c r="O427" s="85"/>
      <c r="P427" s="85"/>
      <c r="Q427" s="85"/>
    </row>
    <row r="428" spans="1:17">
      <c r="A428" s="85"/>
      <c r="B428" s="99" t="s">
        <v>1243</v>
      </c>
      <c r="C428" s="99"/>
      <c r="D428" s="85">
        <v>3</v>
      </c>
      <c r="E428" s="85"/>
      <c r="F428" s="85"/>
      <c r="G428" s="85"/>
      <c r="H428" s="85"/>
      <c r="I428" s="85"/>
      <c r="J428" s="85"/>
      <c r="K428" s="85"/>
      <c r="L428" s="85"/>
      <c r="M428" s="85"/>
      <c r="N428" s="85"/>
      <c r="O428" s="85"/>
      <c r="P428" s="85"/>
      <c r="Q428" s="85"/>
    </row>
    <row r="429" spans="1:17">
      <c r="A429" s="85"/>
      <c r="B429" s="99" t="s">
        <v>1216</v>
      </c>
      <c r="C429" s="99"/>
      <c r="D429" s="85">
        <f>SUM(D426:D428)</f>
        <v>52</v>
      </c>
      <c r="E429" s="85">
        <f>SUM(E425:E428)</f>
        <v>98</v>
      </c>
      <c r="F429" s="85">
        <f>SUM(D429:E429)</f>
        <v>150</v>
      </c>
      <c r="G429" s="85"/>
      <c r="H429" s="85"/>
      <c r="I429" s="85">
        <f>0.25*F429</f>
        <v>37.5</v>
      </c>
      <c r="J429" s="85">
        <f>0.5*F429</f>
        <v>75</v>
      </c>
      <c r="K429" s="85">
        <f>0.25*F429</f>
        <v>37.5</v>
      </c>
      <c r="L429" s="85"/>
      <c r="M429" s="85"/>
      <c r="N429" s="85"/>
      <c r="O429" s="85"/>
      <c r="P429" s="85"/>
      <c r="Q429" s="85"/>
    </row>
    <row r="430" spans="1:17">
      <c r="A430" s="85"/>
      <c r="B430" s="99"/>
      <c r="C430" s="99"/>
      <c r="D430" s="85"/>
      <c r="E430" s="85"/>
      <c r="F430" s="85"/>
      <c r="G430" s="85"/>
      <c r="H430" s="85"/>
      <c r="I430" s="85"/>
      <c r="J430" s="85"/>
      <c r="K430" s="85"/>
      <c r="L430" s="85"/>
      <c r="M430" s="85"/>
      <c r="N430" s="85"/>
      <c r="O430" s="85"/>
      <c r="P430" s="85"/>
      <c r="Q430" s="85"/>
    </row>
    <row r="431" spans="1:17">
      <c r="A431" s="85" t="s">
        <v>1210</v>
      </c>
      <c r="B431" s="98" t="s">
        <v>1244</v>
      </c>
      <c r="C431" s="98"/>
      <c r="D431" s="85"/>
      <c r="E431" s="85"/>
      <c r="F431" s="85"/>
      <c r="G431" s="85"/>
      <c r="H431" s="85"/>
      <c r="I431" s="85"/>
      <c r="J431" s="85"/>
      <c r="K431" s="85"/>
      <c r="L431" s="85"/>
      <c r="M431" s="85"/>
      <c r="N431" s="85"/>
      <c r="O431" s="85"/>
      <c r="P431" s="85"/>
      <c r="Q431" s="85"/>
    </row>
    <row r="432" spans="1:17">
      <c r="A432" s="85"/>
      <c r="B432" s="99" t="s">
        <v>1245</v>
      </c>
      <c r="C432" s="99"/>
      <c r="D432" s="85"/>
      <c r="E432" s="85">
        <v>66</v>
      </c>
      <c r="F432" s="85"/>
      <c r="G432" s="85"/>
      <c r="H432" s="85"/>
      <c r="I432" s="85"/>
      <c r="J432" s="85"/>
      <c r="K432" s="85"/>
      <c r="L432" s="85"/>
      <c r="M432" s="85"/>
      <c r="N432" s="85"/>
      <c r="O432" s="85"/>
      <c r="P432" s="85"/>
      <c r="Q432" s="85"/>
    </row>
    <row r="433" spans="1:17">
      <c r="A433" s="85"/>
      <c r="B433" s="99" t="s">
        <v>1241</v>
      </c>
      <c r="C433" s="99"/>
      <c r="D433" s="85">
        <v>28</v>
      </c>
      <c r="E433" s="85"/>
      <c r="F433" s="85"/>
      <c r="G433" s="85"/>
      <c r="H433" s="85"/>
      <c r="I433" s="85"/>
      <c r="J433" s="85"/>
      <c r="K433" s="85"/>
      <c r="L433" s="85"/>
      <c r="M433" s="85"/>
      <c r="N433" s="85"/>
      <c r="O433" s="85"/>
      <c r="P433" s="85"/>
      <c r="Q433" s="85"/>
    </row>
    <row r="434" spans="1:17">
      <c r="A434" s="85"/>
      <c r="B434" s="99" t="s">
        <v>1242</v>
      </c>
      <c r="C434" s="99"/>
      <c r="D434" s="85">
        <v>17</v>
      </c>
      <c r="E434" s="85"/>
      <c r="F434" s="85"/>
      <c r="G434" s="85"/>
      <c r="H434" s="85"/>
      <c r="I434" s="85"/>
      <c r="J434" s="85"/>
      <c r="K434" s="85"/>
      <c r="L434" s="85"/>
      <c r="M434" s="85"/>
      <c r="N434" s="85"/>
      <c r="O434" s="85"/>
      <c r="P434" s="85"/>
      <c r="Q434" s="85"/>
    </row>
    <row r="435" spans="1:17">
      <c r="A435" s="85"/>
      <c r="B435" s="99" t="s">
        <v>1246</v>
      </c>
      <c r="C435" s="99"/>
      <c r="D435" s="85">
        <v>5.5</v>
      </c>
      <c r="E435" s="85"/>
      <c r="F435" s="85"/>
      <c r="G435" s="85"/>
      <c r="H435" s="85"/>
      <c r="I435" s="85"/>
      <c r="J435" s="85"/>
      <c r="K435" s="85"/>
      <c r="L435" s="85"/>
      <c r="M435" s="85"/>
      <c r="N435" s="85"/>
      <c r="O435" s="85"/>
      <c r="P435" s="85"/>
      <c r="Q435" s="85"/>
    </row>
    <row r="436" spans="1:17">
      <c r="A436" s="85"/>
      <c r="B436" s="99" t="s">
        <v>1243</v>
      </c>
      <c r="C436" s="99"/>
      <c r="D436" s="85">
        <v>6</v>
      </c>
      <c r="E436" s="85"/>
      <c r="F436" s="85"/>
      <c r="G436" s="85"/>
      <c r="H436" s="85"/>
      <c r="I436" s="85"/>
      <c r="J436" s="85"/>
      <c r="K436" s="85"/>
      <c r="L436" s="85"/>
      <c r="M436" s="85"/>
      <c r="N436" s="85"/>
      <c r="O436" s="85"/>
      <c r="P436" s="85"/>
      <c r="Q436" s="85"/>
    </row>
    <row r="437" spans="1:17">
      <c r="A437" s="85"/>
      <c r="B437" s="99" t="s">
        <v>1216</v>
      </c>
      <c r="C437" s="99"/>
      <c r="D437" s="85">
        <f>SUM(D433:D436)</f>
        <v>56.5</v>
      </c>
      <c r="E437" s="85">
        <f>SUM(E432:E436)</f>
        <v>66</v>
      </c>
      <c r="F437" s="85">
        <f>SUM(D437:E437)</f>
        <v>122.5</v>
      </c>
      <c r="G437" s="85"/>
      <c r="H437" s="85"/>
      <c r="I437" s="85">
        <f>0.25*F437</f>
        <v>30.625</v>
      </c>
      <c r="J437" s="85">
        <f>0.5*F437</f>
        <v>61.25</v>
      </c>
      <c r="K437" s="85">
        <f>0.25*F437</f>
        <v>30.625</v>
      </c>
      <c r="L437" s="85"/>
      <c r="M437" s="85"/>
      <c r="N437" s="85"/>
      <c r="O437" s="85"/>
      <c r="P437" s="85"/>
      <c r="Q437" s="85"/>
    </row>
    <row r="438" spans="1:17">
      <c r="A438" s="85"/>
      <c r="B438" s="99"/>
      <c r="C438" s="99"/>
      <c r="D438" s="85"/>
      <c r="E438" s="85"/>
      <c r="F438" s="85"/>
      <c r="G438" s="85"/>
      <c r="H438" s="85"/>
      <c r="I438" s="85"/>
      <c r="J438" s="85"/>
      <c r="K438" s="85"/>
      <c r="L438" s="85"/>
      <c r="M438" s="85"/>
      <c r="N438" s="85"/>
      <c r="O438" s="85"/>
      <c r="P438" s="85"/>
      <c r="Q438" s="85"/>
    </row>
    <row r="439" spans="1:17">
      <c r="A439" s="85" t="s">
        <v>1217</v>
      </c>
      <c r="B439" s="98" t="s">
        <v>1247</v>
      </c>
      <c r="C439" s="99"/>
      <c r="D439" s="85"/>
      <c r="E439" s="85"/>
      <c r="F439" s="85"/>
      <c r="G439" s="85"/>
      <c r="H439" s="85"/>
      <c r="I439" s="85"/>
      <c r="J439" s="85"/>
      <c r="K439" s="85"/>
      <c r="L439" s="85"/>
      <c r="M439" s="85"/>
      <c r="N439" s="85"/>
      <c r="O439" s="85"/>
      <c r="P439" s="85"/>
      <c r="Q439" s="85"/>
    </row>
    <row r="440" spans="1:17">
      <c r="A440" s="85"/>
      <c r="B440" s="99" t="s">
        <v>1248</v>
      </c>
      <c r="C440" s="99"/>
      <c r="D440" s="85"/>
      <c r="E440" s="85">
        <v>194</v>
      </c>
      <c r="F440" s="85"/>
      <c r="G440" s="85"/>
      <c r="H440" s="85"/>
      <c r="I440" s="85"/>
      <c r="J440" s="85"/>
      <c r="K440" s="85"/>
      <c r="L440" s="85"/>
      <c r="M440" s="85"/>
      <c r="N440" s="85"/>
      <c r="O440" s="85"/>
      <c r="P440" s="85"/>
      <c r="Q440" s="85"/>
    </row>
    <row r="441" spans="1:17">
      <c r="A441" s="85"/>
      <c r="B441" s="99" t="s">
        <v>1207</v>
      </c>
      <c r="C441" s="99"/>
      <c r="D441" s="85">
        <v>43</v>
      </c>
      <c r="E441" s="85"/>
      <c r="F441" s="85"/>
      <c r="G441" s="85"/>
      <c r="H441" s="85"/>
      <c r="I441" s="85"/>
      <c r="J441" s="85"/>
      <c r="K441" s="85"/>
      <c r="L441" s="85"/>
      <c r="M441" s="85"/>
      <c r="N441" s="85"/>
      <c r="O441" s="85"/>
      <c r="P441" s="85"/>
      <c r="Q441" s="85"/>
    </row>
    <row r="442" spans="1:17">
      <c r="A442" s="85"/>
      <c r="B442" s="99" t="s">
        <v>1214</v>
      </c>
      <c r="C442" s="99"/>
      <c r="D442" s="85">
        <v>19</v>
      </c>
      <c r="E442" s="85"/>
      <c r="F442" s="85"/>
      <c r="G442" s="85"/>
      <c r="H442" s="85"/>
      <c r="I442" s="85"/>
      <c r="J442" s="85"/>
      <c r="K442" s="85"/>
      <c r="L442" s="85"/>
      <c r="M442" s="85"/>
      <c r="N442" s="85"/>
      <c r="O442" s="85"/>
      <c r="P442" s="85"/>
      <c r="Q442" s="85"/>
    </row>
    <row r="443" spans="1:17">
      <c r="A443" s="85"/>
      <c r="B443" s="99" t="s">
        <v>1249</v>
      </c>
      <c r="C443" s="99"/>
      <c r="D443" s="85">
        <v>52</v>
      </c>
      <c r="E443" s="85"/>
      <c r="F443" s="85"/>
      <c r="G443" s="85"/>
      <c r="H443" s="85"/>
      <c r="I443" s="85"/>
      <c r="J443" s="85"/>
      <c r="K443" s="85"/>
      <c r="L443" s="85"/>
      <c r="M443" s="85"/>
      <c r="N443" s="85"/>
      <c r="O443" s="85"/>
      <c r="P443" s="85"/>
      <c r="Q443" s="85"/>
    </row>
    <row r="444" spans="1:17">
      <c r="A444" s="85"/>
      <c r="B444" s="99" t="s">
        <v>1250</v>
      </c>
      <c r="C444" s="99"/>
      <c r="D444" s="85">
        <v>8</v>
      </c>
      <c r="E444" s="85"/>
      <c r="F444" s="85"/>
      <c r="G444" s="85"/>
      <c r="H444" s="85"/>
      <c r="I444" s="85"/>
      <c r="J444" s="85"/>
      <c r="K444" s="85"/>
      <c r="L444" s="85"/>
      <c r="M444" s="85"/>
      <c r="N444" s="85"/>
      <c r="O444" s="85"/>
      <c r="P444" s="85"/>
      <c r="Q444" s="85"/>
    </row>
    <row r="445" spans="1:17">
      <c r="A445" s="85"/>
      <c r="B445" s="99" t="s">
        <v>1216</v>
      </c>
      <c r="C445" s="99"/>
      <c r="D445" s="85">
        <f>SUM(D441:D444)</f>
        <v>122</v>
      </c>
      <c r="E445" s="85">
        <f>SUM(E440:E444)</f>
        <v>194</v>
      </c>
      <c r="F445" s="85">
        <f>SUM(D445:E445)</f>
        <v>316</v>
      </c>
      <c r="G445" s="85"/>
      <c r="H445" s="85"/>
      <c r="I445" s="85">
        <f>0.25*F445</f>
        <v>79</v>
      </c>
      <c r="J445" s="85">
        <f>0.5*F445</f>
        <v>158</v>
      </c>
      <c r="K445" s="85">
        <f>0.25*F445</f>
        <v>79</v>
      </c>
      <c r="L445" s="85"/>
      <c r="M445" s="85"/>
      <c r="N445" s="85"/>
      <c r="O445" s="85"/>
      <c r="P445" s="85"/>
      <c r="Q445" s="85"/>
    </row>
    <row r="446" spans="1:17">
      <c r="A446" s="85"/>
      <c r="B446" s="99"/>
      <c r="C446" s="99"/>
      <c r="D446" s="85"/>
      <c r="E446" s="85"/>
      <c r="F446" s="85"/>
      <c r="G446" s="85"/>
      <c r="H446" s="85"/>
      <c r="I446" s="85"/>
      <c r="J446" s="85"/>
      <c r="K446" s="85"/>
      <c r="L446" s="85"/>
      <c r="M446" s="85"/>
      <c r="N446" s="85"/>
      <c r="O446" s="85"/>
      <c r="P446" s="85"/>
      <c r="Q446" s="85"/>
    </row>
    <row r="447" spans="1:17">
      <c r="A447" s="85" t="s">
        <v>1221</v>
      </c>
      <c r="B447" s="98" t="s">
        <v>1251</v>
      </c>
      <c r="C447" s="99"/>
      <c r="D447" s="85"/>
      <c r="E447" s="85"/>
      <c r="F447" s="85"/>
      <c r="G447" s="85"/>
      <c r="H447" s="85"/>
      <c r="I447" s="85"/>
      <c r="J447" s="85"/>
      <c r="K447" s="85"/>
      <c r="L447" s="85"/>
      <c r="M447" s="85"/>
      <c r="N447" s="85"/>
      <c r="O447" s="85"/>
      <c r="P447" s="85"/>
      <c r="Q447" s="85"/>
    </row>
    <row r="448" spans="1:17">
      <c r="A448" s="85"/>
      <c r="B448" s="99" t="s">
        <v>1252</v>
      </c>
      <c r="C448" s="99"/>
      <c r="D448" s="85"/>
      <c r="E448" s="85">
        <v>250</v>
      </c>
      <c r="F448" s="85"/>
      <c r="G448" s="85"/>
      <c r="H448" s="85"/>
      <c r="I448" s="85"/>
      <c r="J448" s="85"/>
      <c r="K448" s="85"/>
      <c r="L448" s="85"/>
      <c r="M448" s="85"/>
      <c r="N448" s="85"/>
      <c r="O448" s="85"/>
      <c r="P448" s="85"/>
      <c r="Q448" s="85"/>
    </row>
    <row r="449" spans="1:17">
      <c r="A449" s="85"/>
      <c r="B449" s="99" t="s">
        <v>1253</v>
      </c>
      <c r="C449" s="99"/>
      <c r="D449" s="85">
        <v>54</v>
      </c>
      <c r="E449" s="85"/>
      <c r="F449" s="85"/>
      <c r="G449" s="85"/>
      <c r="H449" s="85"/>
      <c r="I449" s="85"/>
      <c r="J449" s="85"/>
      <c r="K449" s="85"/>
      <c r="L449" s="85"/>
      <c r="M449" s="85"/>
      <c r="N449" s="85"/>
      <c r="O449" s="85"/>
      <c r="P449" s="85"/>
      <c r="Q449" s="85"/>
    </row>
    <row r="450" spans="1:17">
      <c r="A450" s="85"/>
      <c r="B450" s="99" t="s">
        <v>1254</v>
      </c>
      <c r="C450" s="99"/>
      <c r="D450" s="85">
        <v>50</v>
      </c>
      <c r="E450" s="85"/>
      <c r="F450" s="85"/>
      <c r="G450" s="85"/>
      <c r="H450" s="85"/>
      <c r="I450" s="85"/>
      <c r="J450" s="85"/>
      <c r="K450" s="85"/>
      <c r="L450" s="85"/>
      <c r="M450" s="85"/>
      <c r="N450" s="85"/>
      <c r="O450" s="85"/>
      <c r="P450" s="85"/>
      <c r="Q450" s="85"/>
    </row>
    <row r="451" spans="1:17">
      <c r="A451" s="85"/>
      <c r="B451" s="99" t="s">
        <v>1216</v>
      </c>
      <c r="C451" s="99"/>
      <c r="D451" s="85">
        <f>SUM(D449:D450)</f>
        <v>104</v>
      </c>
      <c r="E451" s="85">
        <f>SUM(E448:E450)</f>
        <v>250</v>
      </c>
      <c r="F451" s="85">
        <f>SUM(D451:E451)</f>
        <v>354</v>
      </c>
      <c r="G451" s="85"/>
      <c r="H451" s="85"/>
      <c r="I451" s="85">
        <f>D449</f>
        <v>54</v>
      </c>
      <c r="J451" s="85">
        <f>0.5*E448</f>
        <v>125</v>
      </c>
      <c r="K451" s="85">
        <f>0.5*E448+D450</f>
        <v>175</v>
      </c>
      <c r="L451" s="85"/>
      <c r="M451" s="85"/>
      <c r="N451" s="85"/>
      <c r="O451" s="85"/>
      <c r="P451" s="85"/>
      <c r="Q451" s="85"/>
    </row>
    <row r="452" spans="1:17">
      <c r="A452" s="85"/>
      <c r="B452" s="99"/>
      <c r="C452" s="99"/>
      <c r="D452" s="85"/>
      <c r="E452" s="85"/>
      <c r="F452" s="85"/>
      <c r="G452" s="85"/>
      <c r="H452" s="85"/>
      <c r="I452" s="85"/>
      <c r="J452" s="85"/>
      <c r="K452" s="85"/>
      <c r="L452" s="85"/>
      <c r="M452" s="85"/>
      <c r="N452" s="85"/>
      <c r="O452" s="85"/>
      <c r="P452" s="85"/>
      <c r="Q452" s="85"/>
    </row>
    <row r="453" spans="1:17">
      <c r="A453" s="85" t="s">
        <v>1230</v>
      </c>
      <c r="B453" s="98" t="s">
        <v>1218</v>
      </c>
      <c r="C453" s="99"/>
      <c r="D453" s="85"/>
      <c r="E453" s="85"/>
      <c r="F453" s="85"/>
      <c r="G453" s="85"/>
      <c r="H453" s="85"/>
      <c r="I453" s="85"/>
      <c r="J453" s="85"/>
      <c r="K453" s="85"/>
      <c r="L453" s="85"/>
      <c r="M453" s="85"/>
      <c r="N453" s="85"/>
      <c r="O453" s="85"/>
      <c r="P453" s="85"/>
      <c r="Q453" s="85"/>
    </row>
    <row r="454" spans="1:17">
      <c r="A454" s="85"/>
      <c r="B454" s="99" t="s">
        <v>1255</v>
      </c>
      <c r="C454" s="99"/>
      <c r="D454" s="85"/>
      <c r="E454" s="85">
        <v>78</v>
      </c>
      <c r="F454" s="85"/>
      <c r="G454" s="85"/>
      <c r="H454" s="85"/>
      <c r="I454" s="85"/>
      <c r="J454" s="85"/>
      <c r="K454" s="85"/>
      <c r="L454" s="85"/>
      <c r="M454" s="85"/>
      <c r="N454" s="85"/>
      <c r="O454" s="85"/>
      <c r="P454" s="85"/>
      <c r="Q454" s="85"/>
    </row>
    <row r="455" spans="1:17">
      <c r="A455" s="85"/>
      <c r="B455" s="99" t="s">
        <v>1256</v>
      </c>
      <c r="C455" s="99"/>
      <c r="D455" s="85">
        <v>33</v>
      </c>
      <c r="E455" s="85"/>
      <c r="F455" s="85"/>
      <c r="G455" s="85"/>
      <c r="H455" s="85"/>
      <c r="I455" s="85"/>
      <c r="J455" s="85"/>
      <c r="K455" s="85"/>
      <c r="L455" s="85"/>
      <c r="M455" s="85"/>
      <c r="N455" s="85"/>
      <c r="O455" s="85"/>
      <c r="P455" s="85"/>
      <c r="Q455" s="85"/>
    </row>
    <row r="456" spans="1:17">
      <c r="A456" s="85"/>
      <c r="B456" s="99" t="s">
        <v>1216</v>
      </c>
      <c r="C456" s="99"/>
      <c r="D456" s="85">
        <f>SUM(D455)</f>
        <v>33</v>
      </c>
      <c r="E456" s="85">
        <f>SUM(E454:E455)</f>
        <v>78</v>
      </c>
      <c r="F456" s="85">
        <f>SUM(D456:E456)</f>
        <v>111</v>
      </c>
      <c r="G456" s="85"/>
      <c r="H456" s="85"/>
      <c r="I456" s="85">
        <f>D455</f>
        <v>33</v>
      </c>
      <c r="J456" s="85"/>
      <c r="K456" s="85">
        <f>E454</f>
        <v>78</v>
      </c>
      <c r="L456" s="85"/>
      <c r="M456" s="85"/>
      <c r="N456" s="85"/>
      <c r="O456" s="85"/>
      <c r="P456" s="85"/>
      <c r="Q456" s="85"/>
    </row>
    <row r="457" spans="1:17">
      <c r="A457" s="85"/>
      <c r="B457" s="99"/>
      <c r="C457" s="99"/>
      <c r="D457" s="85"/>
      <c r="E457" s="85"/>
      <c r="F457" s="85"/>
      <c r="G457" s="85"/>
      <c r="H457" s="85"/>
      <c r="I457" s="85"/>
      <c r="J457" s="85"/>
      <c r="K457" s="85"/>
      <c r="L457" s="85"/>
      <c r="M457" s="85"/>
      <c r="N457" s="85"/>
      <c r="O457" s="85"/>
      <c r="P457" s="85"/>
      <c r="Q457" s="85"/>
    </row>
    <row r="458" spans="1:17">
      <c r="A458" s="85" t="s">
        <v>1233</v>
      </c>
      <c r="B458" s="98" t="s">
        <v>1257</v>
      </c>
      <c r="C458" s="99"/>
      <c r="D458" s="85"/>
      <c r="E458" s="85"/>
      <c r="F458" s="85"/>
      <c r="G458" s="85"/>
      <c r="H458" s="85"/>
      <c r="I458" s="85"/>
      <c r="J458" s="85"/>
      <c r="K458" s="85"/>
      <c r="L458" s="85"/>
      <c r="M458" s="85"/>
      <c r="N458" s="85"/>
      <c r="O458" s="85"/>
      <c r="P458" s="85"/>
      <c r="Q458" s="85"/>
    </row>
    <row r="459" spans="1:17">
      <c r="A459" s="85"/>
      <c r="B459" s="99" t="s">
        <v>1258</v>
      </c>
      <c r="C459" s="99"/>
      <c r="D459" s="85"/>
      <c r="E459" s="85">
        <v>351</v>
      </c>
      <c r="F459" s="85"/>
      <c r="G459" s="85"/>
      <c r="H459" s="85"/>
      <c r="I459" s="85"/>
      <c r="J459" s="85"/>
      <c r="K459" s="85"/>
      <c r="L459" s="85"/>
      <c r="M459" s="85"/>
      <c r="N459" s="85"/>
      <c r="O459" s="85"/>
      <c r="P459" s="85"/>
      <c r="Q459" s="85"/>
    </row>
    <row r="460" spans="1:17">
      <c r="A460" s="85"/>
      <c r="B460" s="99" t="s">
        <v>1242</v>
      </c>
      <c r="C460" s="99"/>
      <c r="D460" s="85">
        <v>45</v>
      </c>
      <c r="E460" s="85"/>
      <c r="F460" s="85"/>
      <c r="G460" s="85"/>
      <c r="H460" s="85"/>
      <c r="I460" s="85"/>
      <c r="J460" s="85"/>
      <c r="K460" s="85"/>
      <c r="L460" s="85"/>
      <c r="M460" s="85"/>
      <c r="N460" s="85"/>
      <c r="O460" s="85"/>
      <c r="P460" s="85"/>
      <c r="Q460" s="85"/>
    </row>
    <row r="461" spans="1:17">
      <c r="A461" s="85"/>
      <c r="B461" s="99" t="s">
        <v>1259</v>
      </c>
      <c r="C461" s="99"/>
      <c r="D461" s="85">
        <v>10</v>
      </c>
      <c r="E461" s="85"/>
      <c r="F461" s="85"/>
      <c r="G461" s="85"/>
      <c r="H461" s="85"/>
      <c r="I461" s="85"/>
      <c r="J461" s="85"/>
      <c r="K461" s="85"/>
      <c r="L461" s="85"/>
      <c r="M461" s="85"/>
      <c r="N461" s="85"/>
      <c r="O461" s="85"/>
      <c r="P461" s="85"/>
      <c r="Q461" s="85"/>
    </row>
    <row r="462" spans="1:17">
      <c r="A462" s="85"/>
      <c r="B462" s="99" t="s">
        <v>1260</v>
      </c>
      <c r="C462" s="99"/>
      <c r="D462" s="85">
        <v>12</v>
      </c>
      <c r="E462" s="85"/>
      <c r="F462" s="85"/>
      <c r="G462" s="85"/>
      <c r="H462" s="85"/>
      <c r="I462" s="85"/>
      <c r="J462" s="85"/>
      <c r="K462" s="85"/>
      <c r="L462" s="85"/>
      <c r="M462" s="85"/>
      <c r="N462" s="85"/>
      <c r="O462" s="85"/>
      <c r="P462" s="85"/>
      <c r="Q462" s="85"/>
    </row>
    <row r="463" spans="1:17">
      <c r="A463" s="85"/>
      <c r="B463" s="99"/>
      <c r="C463" s="99"/>
      <c r="D463" s="85">
        <f>SUM(D460:D462)</f>
        <v>67</v>
      </c>
      <c r="E463" s="85">
        <f>SUM(E459:E462)</f>
        <v>351</v>
      </c>
      <c r="F463" s="85">
        <f>SUM(D463:E463)</f>
        <v>418</v>
      </c>
      <c r="G463" s="85"/>
      <c r="H463" s="85"/>
      <c r="I463" s="85">
        <f>0.5*D460</f>
        <v>22.5</v>
      </c>
      <c r="J463" s="85">
        <f>0.5*D460+0.5*(F463-D460)</f>
        <v>209</v>
      </c>
      <c r="K463" s="85">
        <f>0.5*(F463-D460)</f>
        <v>186.5</v>
      </c>
      <c r="L463" s="85"/>
      <c r="M463" s="85"/>
      <c r="N463" s="85"/>
      <c r="O463" s="85"/>
      <c r="P463" s="85"/>
      <c r="Q463" s="85"/>
    </row>
    <row r="464" spans="1:17">
      <c r="A464" s="85"/>
      <c r="B464" s="99"/>
      <c r="C464" s="99"/>
      <c r="D464" s="85"/>
      <c r="E464" s="85"/>
      <c r="F464" s="85"/>
      <c r="G464" s="85"/>
      <c r="H464" s="85"/>
      <c r="I464" s="85"/>
      <c r="J464" s="85"/>
      <c r="K464" s="85"/>
      <c r="L464" s="85"/>
      <c r="M464" s="85"/>
      <c r="N464" s="85"/>
      <c r="O464" s="85"/>
      <c r="P464" s="85"/>
      <c r="Q464" s="85"/>
    </row>
    <row r="465" spans="1:17">
      <c r="A465" s="85" t="s">
        <v>1261</v>
      </c>
      <c r="B465" s="98" t="s">
        <v>1262</v>
      </c>
      <c r="C465" s="98"/>
      <c r="D465" s="85"/>
      <c r="E465" s="85"/>
      <c r="F465" s="85"/>
      <c r="G465" s="85"/>
      <c r="H465" s="85"/>
      <c r="I465" s="85"/>
      <c r="J465" s="85"/>
      <c r="K465" s="85"/>
      <c r="L465" s="85"/>
      <c r="M465" s="85"/>
      <c r="N465" s="85"/>
      <c r="O465" s="85"/>
      <c r="P465" s="85"/>
      <c r="Q465" s="85"/>
    </row>
    <row r="466" spans="1:17">
      <c r="A466" s="85"/>
      <c r="B466" s="99" t="s">
        <v>1263</v>
      </c>
      <c r="C466" s="99"/>
      <c r="D466" s="85"/>
      <c r="E466" s="85">
        <v>716</v>
      </c>
      <c r="F466" s="85"/>
      <c r="G466" s="85"/>
      <c r="H466" s="85"/>
      <c r="I466" s="85"/>
      <c r="J466" s="85"/>
      <c r="K466" s="85"/>
      <c r="L466" s="85"/>
      <c r="M466" s="85"/>
      <c r="N466" s="85"/>
      <c r="O466" s="85"/>
      <c r="P466" s="85"/>
      <c r="Q466" s="85"/>
    </row>
    <row r="467" spans="1:17">
      <c r="A467" s="85"/>
      <c r="B467" s="99" t="s">
        <v>1264</v>
      </c>
      <c r="C467" s="99"/>
      <c r="D467" s="85">
        <v>51</v>
      </c>
      <c r="E467" s="85"/>
      <c r="F467" s="85"/>
      <c r="G467" s="85"/>
      <c r="H467" s="85"/>
      <c r="I467" s="85"/>
      <c r="J467" s="85"/>
      <c r="K467" s="85"/>
      <c r="L467" s="85"/>
      <c r="M467" s="85"/>
      <c r="N467" s="85"/>
      <c r="O467" s="85"/>
      <c r="P467" s="85"/>
      <c r="Q467" s="85"/>
    </row>
    <row r="468" spans="1:17">
      <c r="A468" s="85"/>
      <c r="B468" s="99" t="s">
        <v>1265</v>
      </c>
      <c r="C468" s="99"/>
      <c r="D468" s="85">
        <v>10</v>
      </c>
      <c r="E468" s="85"/>
      <c r="F468" s="85"/>
      <c r="G468" s="85"/>
      <c r="H468" s="85"/>
      <c r="I468" s="85"/>
      <c r="J468" s="85"/>
      <c r="K468" s="85"/>
      <c r="L468" s="85"/>
      <c r="M468" s="85"/>
      <c r="N468" s="85"/>
      <c r="O468" s="85"/>
      <c r="P468" s="85"/>
      <c r="Q468" s="85"/>
    </row>
    <row r="469" spans="1:17">
      <c r="A469" s="85"/>
      <c r="B469" s="99" t="s">
        <v>1260</v>
      </c>
      <c r="C469" s="99"/>
      <c r="D469" s="85">
        <v>12</v>
      </c>
      <c r="E469" s="85"/>
      <c r="F469" s="85"/>
      <c r="G469" s="85"/>
      <c r="H469" s="85"/>
      <c r="I469" s="85"/>
      <c r="J469" s="85"/>
      <c r="K469" s="85"/>
      <c r="L469" s="85"/>
      <c r="M469" s="85"/>
      <c r="N469" s="85"/>
      <c r="O469" s="85"/>
      <c r="P469" s="85"/>
      <c r="Q469" s="85"/>
    </row>
    <row r="470" spans="1:17">
      <c r="A470" s="85"/>
      <c r="B470" s="99" t="s">
        <v>1216</v>
      </c>
      <c r="C470" s="99"/>
      <c r="D470" s="85">
        <f>SUM(D467:D469)</f>
        <v>73</v>
      </c>
      <c r="E470" s="85">
        <f>SUM(E466:E469)</f>
        <v>716</v>
      </c>
      <c r="F470" s="85">
        <f>SUM(D470:E470)</f>
        <v>789</v>
      </c>
      <c r="G470" s="85"/>
      <c r="H470" s="85"/>
      <c r="I470" s="85">
        <f>0.5*D467</f>
        <v>25.5</v>
      </c>
      <c r="J470" s="85">
        <f>0.5*D467+0.5*(F470-D467)</f>
        <v>394.5</v>
      </c>
      <c r="K470" s="85">
        <f>0.5*(F470-D467)</f>
        <v>369</v>
      </c>
      <c r="L470" s="85"/>
      <c r="M470" s="85"/>
      <c r="N470" s="85"/>
      <c r="O470" s="85"/>
      <c r="P470" s="85"/>
      <c r="Q470" s="85"/>
    </row>
    <row r="471" spans="1:17">
      <c r="A471" s="85"/>
      <c r="B471" s="99"/>
      <c r="C471" s="99"/>
      <c r="D471" s="85"/>
      <c r="E471" s="85"/>
      <c r="F471" s="85"/>
      <c r="G471" s="85"/>
      <c r="H471" s="85"/>
      <c r="I471" s="85"/>
      <c r="J471" s="85"/>
      <c r="K471" s="85"/>
      <c r="L471" s="85"/>
      <c r="M471" s="85"/>
      <c r="N471" s="85"/>
      <c r="O471" s="85"/>
      <c r="P471" s="85"/>
      <c r="Q471" s="85"/>
    </row>
    <row r="472" spans="1:17">
      <c r="A472" s="85" t="s">
        <v>1266</v>
      </c>
      <c r="B472" s="98" t="s">
        <v>1267</v>
      </c>
      <c r="C472" s="98"/>
      <c r="D472" s="85"/>
      <c r="E472" s="85"/>
      <c r="F472" s="85"/>
      <c r="G472" s="85"/>
      <c r="H472" s="85"/>
      <c r="I472" s="85"/>
      <c r="J472" s="85"/>
      <c r="K472" s="85"/>
      <c r="L472" s="85"/>
      <c r="M472" s="85"/>
      <c r="N472" s="85"/>
      <c r="O472" s="85"/>
      <c r="P472" s="85"/>
      <c r="Q472" s="85"/>
    </row>
    <row r="473" spans="1:17">
      <c r="A473" s="85"/>
      <c r="B473" s="99" t="s">
        <v>1268</v>
      </c>
      <c r="C473" s="99"/>
      <c r="D473" s="85"/>
      <c r="E473" s="85">
        <v>24</v>
      </c>
      <c r="F473" s="85"/>
      <c r="G473" s="85"/>
      <c r="H473" s="85"/>
      <c r="I473" s="85"/>
      <c r="J473" s="85"/>
      <c r="K473" s="85"/>
      <c r="L473" s="85"/>
      <c r="M473" s="85"/>
      <c r="N473" s="85"/>
      <c r="O473" s="85"/>
      <c r="P473" s="85"/>
      <c r="Q473" s="85"/>
    </row>
    <row r="474" spans="1:17">
      <c r="A474" s="85"/>
      <c r="B474" s="99" t="s">
        <v>1269</v>
      </c>
      <c r="C474" s="99"/>
      <c r="D474" s="85">
        <v>8</v>
      </c>
      <c r="E474" s="85"/>
      <c r="F474" s="85"/>
      <c r="G474" s="85"/>
      <c r="H474" s="85"/>
      <c r="I474" s="85"/>
      <c r="J474" s="85"/>
      <c r="K474" s="85"/>
      <c r="L474" s="85"/>
      <c r="M474" s="85"/>
      <c r="N474" s="85"/>
      <c r="O474" s="85"/>
      <c r="P474" s="85"/>
      <c r="Q474" s="85"/>
    </row>
    <row r="475" spans="1:17">
      <c r="A475" s="85"/>
      <c r="B475" s="99" t="s">
        <v>1270</v>
      </c>
      <c r="C475" s="99"/>
      <c r="D475" s="85">
        <v>2</v>
      </c>
      <c r="E475" s="85"/>
      <c r="F475" s="85"/>
      <c r="G475" s="85"/>
      <c r="H475" s="85"/>
      <c r="I475" s="85"/>
      <c r="J475" s="85"/>
      <c r="K475" s="85"/>
      <c r="L475" s="85"/>
      <c r="M475" s="85"/>
      <c r="N475" s="85"/>
      <c r="O475" s="85"/>
      <c r="P475" s="85"/>
      <c r="Q475" s="85"/>
    </row>
    <row r="476" spans="1:17">
      <c r="A476" s="85"/>
      <c r="B476" s="99"/>
      <c r="C476" s="99"/>
      <c r="D476" s="85">
        <f>SUM(D474:D475)</f>
        <v>10</v>
      </c>
      <c r="E476" s="85">
        <f>SUM(E473:E475)</f>
        <v>24</v>
      </c>
      <c r="F476" s="85">
        <f>SUM(D476:E476)</f>
        <v>34</v>
      </c>
      <c r="G476" s="85"/>
      <c r="H476" s="85"/>
      <c r="I476" s="85">
        <f>D474</f>
        <v>8</v>
      </c>
      <c r="J476" s="85"/>
      <c r="K476" s="85">
        <f>F476+D475</f>
        <v>36</v>
      </c>
      <c r="L476" s="85"/>
      <c r="M476" s="85"/>
      <c r="N476" s="85"/>
      <c r="O476" s="85"/>
      <c r="P476" s="85"/>
      <c r="Q476" s="85"/>
    </row>
  </sheetData>
  <mergeCells count="1">
    <mergeCell ref="BC346:BJ346"/>
  </mergeCells>
  <pageMargins left="0.7" right="0.7" top="0.75" bottom="0.75" header="0.3" footer="0.3"/>
  <pageSetup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tint="-0.34998626667073579"/>
  </sheetPr>
  <dimension ref="A1:AU492"/>
  <sheetViews>
    <sheetView zoomScale="110" zoomScaleNormal="110" workbookViewId="0">
      <pane xSplit="7" ySplit="14" topLeftCell="AC312" activePane="bottomRight" state="frozen"/>
      <selection pane="topRight" activeCell="G1" sqref="G1"/>
      <selection pane="bottomLeft" activeCell="A15" sqref="A15"/>
      <selection pane="bottomRight" activeCell="C284" sqref="C284:C286"/>
    </sheetView>
  </sheetViews>
  <sheetFormatPr defaultColWidth="8.85546875" defaultRowHeight="15" outlineLevelRow="1" outlineLevelCol="1"/>
  <cols>
    <col min="2" max="2" width="31.140625" style="17" customWidth="1"/>
    <col min="3" max="3" width="6.85546875" customWidth="1"/>
    <col min="4" max="4" width="31.42578125" customWidth="1"/>
    <col min="8" max="8" width="9" style="115" bestFit="1" customWidth="1"/>
    <col min="9" max="30" width="10.7109375" style="115" customWidth="1" outlineLevel="1"/>
    <col min="31" max="31" width="10" style="403" bestFit="1" customWidth="1"/>
    <col min="32" max="32" width="9.7109375" style="115" bestFit="1" customWidth="1"/>
  </cols>
  <sheetData>
    <row r="1" spans="1:30">
      <c r="F1" t="s">
        <v>1271</v>
      </c>
    </row>
    <row r="2" spans="1:30" ht="15.75">
      <c r="B2" s="620" t="s">
        <v>699</v>
      </c>
      <c r="C2" s="620"/>
      <c r="D2" s="620"/>
      <c r="E2" s="620">
        <v>1650</v>
      </c>
      <c r="F2">
        <f>+E2/2</f>
        <v>825</v>
      </c>
    </row>
    <row r="4" spans="1:30">
      <c r="A4" s="16" t="s">
        <v>930</v>
      </c>
    </row>
    <row r="5" spans="1:30">
      <c r="C5" t="s">
        <v>931</v>
      </c>
    </row>
    <row r="6" spans="1:30" hidden="1" outlineLevel="1">
      <c r="A6" s="75"/>
      <c r="B6" s="76"/>
      <c r="C6" t="s">
        <v>933</v>
      </c>
    </row>
    <row r="7" spans="1:30" hidden="1" outlineLevel="1">
      <c r="A7" s="73"/>
      <c r="B7" s="70"/>
      <c r="C7" t="s">
        <v>934</v>
      </c>
    </row>
    <row r="8" spans="1:30" hidden="1" outlineLevel="1">
      <c r="A8" s="77"/>
      <c r="B8" s="78"/>
      <c r="C8" t="s">
        <v>935</v>
      </c>
    </row>
    <row r="9" spans="1:30" hidden="1" outlineLevel="1">
      <c r="A9" s="79"/>
      <c r="B9" s="80"/>
      <c r="C9" t="s">
        <v>936</v>
      </c>
    </row>
    <row r="10" spans="1:30" hidden="1" outlineLevel="1">
      <c r="A10" s="81"/>
      <c r="B10" s="82"/>
      <c r="C10" t="s">
        <v>937</v>
      </c>
    </row>
    <row r="11" spans="1:30" hidden="1" outlineLevel="1">
      <c r="A11" s="83"/>
      <c r="B11" s="84"/>
      <c r="C11" t="s">
        <v>938</v>
      </c>
    </row>
    <row r="12" spans="1:30" hidden="1" outlineLevel="1">
      <c r="A12" s="85"/>
      <c r="B12" s="86"/>
      <c r="C12" t="s">
        <v>939</v>
      </c>
    </row>
    <row r="13" spans="1:30" collapsed="1">
      <c r="I13" s="390" t="s">
        <v>944</v>
      </c>
      <c r="J13" s="390"/>
      <c r="K13" s="390" t="s">
        <v>945</v>
      </c>
      <c r="L13" s="390"/>
      <c r="M13" s="390" t="s">
        <v>946</v>
      </c>
      <c r="N13" s="390"/>
      <c r="O13" s="390" t="s">
        <v>947</v>
      </c>
      <c r="P13" s="390"/>
      <c r="Q13" s="390" t="s">
        <v>948</v>
      </c>
      <c r="R13" s="390"/>
      <c r="S13" s="390" t="s">
        <v>949</v>
      </c>
      <c r="T13" s="390"/>
      <c r="U13" s="390" t="s">
        <v>950</v>
      </c>
      <c r="V13" s="390"/>
      <c r="W13" s="390" t="s">
        <v>951</v>
      </c>
      <c r="X13" s="390"/>
      <c r="Y13" s="390" t="s">
        <v>952</v>
      </c>
      <c r="Z13" s="390"/>
      <c r="AA13" s="390" t="s">
        <v>953</v>
      </c>
      <c r="AB13" s="390"/>
      <c r="AC13" s="390" t="s">
        <v>954</v>
      </c>
      <c r="AD13" s="390" t="s">
        <v>955</v>
      </c>
    </row>
    <row r="14" spans="1:30">
      <c r="A14" s="16" t="s">
        <v>546</v>
      </c>
      <c r="B14" t="s">
        <v>1272</v>
      </c>
      <c r="C14" t="s">
        <v>22</v>
      </c>
      <c r="D14" t="s">
        <v>824</v>
      </c>
      <c r="H14" s="115" t="s">
        <v>27</v>
      </c>
      <c r="I14" s="115" t="s">
        <v>6</v>
      </c>
      <c r="K14" s="115" t="s">
        <v>7</v>
      </c>
      <c r="M14" s="115" t="s">
        <v>7</v>
      </c>
      <c r="O14" s="115" t="s">
        <v>8</v>
      </c>
      <c r="Q14" s="115" t="s">
        <v>8</v>
      </c>
      <c r="S14" s="115" t="s">
        <v>9</v>
      </c>
      <c r="U14" s="115" t="s">
        <v>9</v>
      </c>
      <c r="W14" s="115" t="s">
        <v>9</v>
      </c>
      <c r="Y14" s="115" t="s">
        <v>9</v>
      </c>
      <c r="AA14" s="115" t="s">
        <v>956</v>
      </c>
      <c r="AC14" s="115" t="s">
        <v>751</v>
      </c>
      <c r="AD14" s="115" t="s">
        <v>751</v>
      </c>
    </row>
    <row r="15" spans="1:30">
      <c r="A15" s="87" t="s">
        <v>775</v>
      </c>
      <c r="B15" s="88"/>
      <c r="C15" s="89"/>
      <c r="D15" s="89"/>
      <c r="E15" s="89"/>
      <c r="F15" s="89"/>
      <c r="G15" s="89"/>
      <c r="H15" s="413" t="s">
        <v>959</v>
      </c>
      <c r="I15" s="413"/>
      <c r="J15" s="413"/>
      <c r="K15" s="413"/>
      <c r="L15" s="413"/>
      <c r="M15" s="413">
        <f>1294/10.4964</f>
        <v>123.28036279105217</v>
      </c>
      <c r="N15" s="413"/>
      <c r="O15" s="413"/>
      <c r="P15" s="413"/>
      <c r="Q15" s="413" t="s">
        <v>960</v>
      </c>
      <c r="R15" s="413"/>
      <c r="S15" s="413"/>
      <c r="T15" s="413"/>
      <c r="U15" s="413">
        <f>1046/10.4964</f>
        <v>99.653214435425483</v>
      </c>
      <c r="V15" s="413"/>
    </row>
    <row r="16" spans="1:30">
      <c r="A16" s="16"/>
    </row>
    <row r="17" spans="1:31">
      <c r="A17" s="73"/>
      <c r="B17" s="70"/>
      <c r="C17" s="73"/>
      <c r="D17" s="73"/>
      <c r="E17" s="73" t="s">
        <v>791</v>
      </c>
      <c r="F17" s="73"/>
      <c r="G17" s="73"/>
      <c r="H17" s="407"/>
      <c r="I17" s="407">
        <v>225</v>
      </c>
      <c r="J17" s="407"/>
      <c r="K17" s="407">
        <v>825</v>
      </c>
      <c r="L17" s="407"/>
      <c r="M17" s="407">
        <v>825</v>
      </c>
      <c r="N17" s="407"/>
      <c r="O17" s="407">
        <v>825</v>
      </c>
      <c r="P17" s="407"/>
      <c r="Q17" s="407">
        <v>825</v>
      </c>
      <c r="R17" s="407"/>
      <c r="S17" s="407">
        <v>825</v>
      </c>
      <c r="T17" s="407"/>
      <c r="U17" s="407">
        <v>825</v>
      </c>
      <c r="V17" s="407"/>
      <c r="W17" s="407">
        <v>825</v>
      </c>
      <c r="X17" s="407"/>
      <c r="Y17" s="407">
        <v>825</v>
      </c>
      <c r="Z17" s="407"/>
      <c r="AA17" s="407">
        <v>825</v>
      </c>
      <c r="AB17" s="407"/>
      <c r="AC17" s="407">
        <v>225</v>
      </c>
      <c r="AD17" s="407">
        <v>225</v>
      </c>
    </row>
    <row r="18" spans="1:31">
      <c r="A18" s="73">
        <v>110200</v>
      </c>
      <c r="B18" s="73" t="s">
        <v>964</v>
      </c>
      <c r="C18" s="73" t="s">
        <v>32</v>
      </c>
      <c r="D18" s="73" t="str">
        <f>VLOOKUP(C18,'Price Table 8 OHB'!A:B,2,FALSE)</f>
        <v>Management</v>
      </c>
      <c r="E18" s="73" t="s">
        <v>792</v>
      </c>
      <c r="F18" s="73"/>
      <c r="G18" s="73"/>
      <c r="H18" s="407"/>
      <c r="I18" s="407">
        <f>I17*M15*0.001</f>
        <v>27.738081627986741</v>
      </c>
      <c r="J18" s="407"/>
      <c r="K18" s="407">
        <f>K17*M15*0.001</f>
        <v>101.70629930261804</v>
      </c>
      <c r="L18" s="407"/>
      <c r="M18" s="407">
        <f>M17*M15*0.001</f>
        <v>101.70629930261804</v>
      </c>
      <c r="N18" s="407"/>
      <c r="O18" s="407">
        <f>O17*M15*0.001</f>
        <v>101.70629930261804</v>
      </c>
      <c r="P18" s="407"/>
      <c r="Q18" s="407">
        <f>Q17*M15*0.001</f>
        <v>101.70629930261804</v>
      </c>
      <c r="R18" s="407"/>
      <c r="S18" s="407">
        <f>S17*M15*0.001</f>
        <v>101.70629930261804</v>
      </c>
      <c r="T18" s="407"/>
      <c r="U18" s="407">
        <f>U17*M15*0.001</f>
        <v>101.70629930261804</v>
      </c>
      <c r="V18" s="407"/>
      <c r="W18" s="407">
        <f>W17*M15*0.001</f>
        <v>101.70629930261804</v>
      </c>
      <c r="X18" s="407"/>
      <c r="Y18" s="407">
        <f>Y17*M15*0.001</f>
        <v>101.70629930261804</v>
      </c>
      <c r="Z18" s="407"/>
      <c r="AA18" s="407">
        <f>AA17*M15*0.001</f>
        <v>101.70629930261804</v>
      </c>
      <c r="AB18" s="407"/>
      <c r="AC18" s="407">
        <f>AC17*M15*0.001</f>
        <v>27.738081627986741</v>
      </c>
      <c r="AD18" s="407">
        <f>AD17*M15*0.001</f>
        <v>27.738081627986741</v>
      </c>
      <c r="AE18" s="403">
        <f>SUM(I18:AD18)</f>
        <v>998.57093860752263</v>
      </c>
    </row>
    <row r="19" spans="1:31">
      <c r="A19" s="73">
        <v>110200</v>
      </c>
      <c r="B19" s="73" t="s">
        <v>964</v>
      </c>
      <c r="C19" s="73" t="s">
        <v>32</v>
      </c>
      <c r="D19" s="73" t="str">
        <f>VLOOKUP(C19,'Price Table 8 OHB'!A:B,2,FALSE)</f>
        <v>Management</v>
      </c>
      <c r="E19" s="73" t="s">
        <v>793</v>
      </c>
      <c r="F19" s="73"/>
      <c r="G19" s="73"/>
      <c r="H19" s="407"/>
      <c r="I19" s="407"/>
      <c r="J19" s="407"/>
      <c r="K19" s="407"/>
      <c r="L19" s="407"/>
      <c r="M19" s="407"/>
      <c r="N19" s="407"/>
      <c r="O19" s="407"/>
      <c r="P19" s="407"/>
      <c r="Q19" s="407"/>
      <c r="R19" s="407"/>
      <c r="S19" s="407"/>
      <c r="T19" s="407"/>
      <c r="U19" s="407"/>
      <c r="V19" s="407"/>
      <c r="W19" s="407"/>
      <c r="X19" s="407"/>
      <c r="Y19" s="407"/>
      <c r="Z19" s="407"/>
      <c r="AA19" s="407"/>
      <c r="AB19" s="407"/>
      <c r="AC19" s="407"/>
      <c r="AD19" s="407"/>
      <c r="AE19" s="403">
        <f>SUM(I19:AD19)</f>
        <v>0</v>
      </c>
    </row>
    <row r="20" spans="1:31">
      <c r="A20" s="73">
        <v>110200</v>
      </c>
      <c r="B20" s="73" t="s">
        <v>964</v>
      </c>
      <c r="C20" s="73" t="s">
        <v>32</v>
      </c>
      <c r="D20" s="73" t="str">
        <f>VLOOKUP(C20,'Price Table 8 OHB'!A:B,2,FALSE)</f>
        <v>Management</v>
      </c>
      <c r="E20" s="73" t="s">
        <v>966</v>
      </c>
      <c r="F20" s="73"/>
      <c r="G20" s="73"/>
      <c r="H20" s="407"/>
      <c r="I20" s="407">
        <v>5</v>
      </c>
      <c r="J20" s="407"/>
      <c r="K20" s="407">
        <v>5</v>
      </c>
      <c r="L20" s="407"/>
      <c r="M20" s="407">
        <v>5</v>
      </c>
      <c r="N20" s="407"/>
      <c r="O20" s="407">
        <v>5</v>
      </c>
      <c r="P20" s="407"/>
      <c r="Q20" s="407">
        <v>5</v>
      </c>
      <c r="R20" s="407"/>
      <c r="S20" s="407">
        <v>5</v>
      </c>
      <c r="T20" s="407"/>
      <c r="U20" s="407">
        <v>10</v>
      </c>
      <c r="V20" s="407"/>
      <c r="W20" s="407">
        <v>3</v>
      </c>
      <c r="X20" s="407"/>
      <c r="Y20" s="407">
        <v>3</v>
      </c>
      <c r="Z20" s="407"/>
      <c r="AA20" s="407">
        <v>3</v>
      </c>
      <c r="AB20" s="407"/>
      <c r="AC20" s="407">
        <v>3</v>
      </c>
      <c r="AD20" s="407"/>
      <c r="AE20" s="403">
        <f>SUM(I20:AD20)</f>
        <v>52</v>
      </c>
    </row>
    <row r="21" spans="1:31">
      <c r="A21" s="73"/>
      <c r="B21" s="70"/>
      <c r="C21" s="73"/>
      <c r="D21" s="73"/>
      <c r="E21" s="73" t="s">
        <v>794</v>
      </c>
      <c r="F21" s="73"/>
      <c r="G21" s="73"/>
      <c r="H21" s="408"/>
      <c r="I21" s="407">
        <f>I18+I19+I20</f>
        <v>32.738081627986745</v>
      </c>
      <c r="J21" s="407"/>
      <c r="K21" s="407">
        <f>K18+K19+K20</f>
        <v>106.70629930261804</v>
      </c>
      <c r="L21" s="407"/>
      <c r="M21" s="407">
        <f t="shared" ref="M21:AD21" si="0">M18+M19+M20</f>
        <v>106.70629930261804</v>
      </c>
      <c r="N21" s="407"/>
      <c r="O21" s="407">
        <f t="shared" si="0"/>
        <v>106.70629930261804</v>
      </c>
      <c r="P21" s="407"/>
      <c r="Q21" s="407">
        <f t="shared" si="0"/>
        <v>106.70629930261804</v>
      </c>
      <c r="R21" s="407"/>
      <c r="S21" s="407">
        <f t="shared" si="0"/>
        <v>106.70629930261804</v>
      </c>
      <c r="T21" s="407"/>
      <c r="U21" s="407">
        <f t="shared" si="0"/>
        <v>111.70629930261804</v>
      </c>
      <c r="V21" s="407"/>
      <c r="W21" s="407">
        <f t="shared" si="0"/>
        <v>104.70629930261804</v>
      </c>
      <c r="X21" s="407"/>
      <c r="Y21" s="407">
        <f t="shared" si="0"/>
        <v>104.70629930261804</v>
      </c>
      <c r="Z21" s="407"/>
      <c r="AA21" s="407">
        <f t="shared" si="0"/>
        <v>104.70629930261804</v>
      </c>
      <c r="AB21" s="407"/>
      <c r="AC21" s="407">
        <f t="shared" si="0"/>
        <v>30.738081627986741</v>
      </c>
      <c r="AD21" s="407">
        <f t="shared" si="0"/>
        <v>27.738081627986741</v>
      </c>
      <c r="AE21" s="403">
        <f>SUM(I21:AD21)</f>
        <v>1050.5709386075227</v>
      </c>
    </row>
    <row r="22" spans="1:31">
      <c r="A22" s="73"/>
      <c r="B22" s="70"/>
      <c r="C22" s="73"/>
      <c r="D22" s="73"/>
      <c r="E22" s="73" t="s">
        <v>1273</v>
      </c>
      <c r="F22" s="73"/>
      <c r="G22" s="73"/>
      <c r="H22" s="407"/>
      <c r="I22" s="407">
        <f>I21/2</f>
        <v>16.369040813993372</v>
      </c>
      <c r="J22" s="407"/>
      <c r="K22" s="407">
        <f t="shared" ref="K22:AD22" si="1">K21/2</f>
        <v>53.353149651309018</v>
      </c>
      <c r="L22" s="407"/>
      <c r="M22" s="407">
        <f t="shared" si="1"/>
        <v>53.353149651309018</v>
      </c>
      <c r="N22" s="407"/>
      <c r="O22" s="407">
        <f t="shared" si="1"/>
        <v>53.353149651309018</v>
      </c>
      <c r="P22" s="407"/>
      <c r="Q22" s="407">
        <f t="shared" si="1"/>
        <v>53.353149651309018</v>
      </c>
      <c r="R22" s="407"/>
      <c r="S22" s="407">
        <f t="shared" si="1"/>
        <v>53.353149651309018</v>
      </c>
      <c r="T22" s="407"/>
      <c r="U22" s="407">
        <f t="shared" si="1"/>
        <v>55.853149651309018</v>
      </c>
      <c r="V22" s="407"/>
      <c r="W22" s="407">
        <f t="shared" si="1"/>
        <v>52.353149651309018</v>
      </c>
      <c r="X22" s="407"/>
      <c r="Y22" s="407">
        <f t="shared" si="1"/>
        <v>52.353149651309018</v>
      </c>
      <c r="Z22" s="407"/>
      <c r="AA22" s="407">
        <f t="shared" si="1"/>
        <v>52.353149651309018</v>
      </c>
      <c r="AB22" s="407"/>
      <c r="AC22" s="407">
        <f t="shared" si="1"/>
        <v>15.369040813993371</v>
      </c>
      <c r="AD22" s="407">
        <f t="shared" si="1"/>
        <v>13.869040813993371</v>
      </c>
    </row>
    <row r="23" spans="1:31">
      <c r="A23" s="73"/>
      <c r="B23" s="70"/>
      <c r="C23" s="73"/>
      <c r="D23" s="73"/>
      <c r="E23" s="73" t="s">
        <v>29</v>
      </c>
      <c r="F23" s="73"/>
      <c r="G23" s="73"/>
      <c r="H23" s="407"/>
      <c r="I23" s="407">
        <f>I17/$F$2</f>
        <v>0.27272727272727271</v>
      </c>
      <c r="J23" s="407"/>
      <c r="K23" s="407">
        <f>K17/$F$2</f>
        <v>1</v>
      </c>
      <c r="L23" s="407"/>
      <c r="M23" s="407">
        <f>M17/$F$2</f>
        <v>1</v>
      </c>
      <c r="N23" s="407"/>
      <c r="O23" s="407"/>
      <c r="P23" s="407"/>
      <c r="Q23" s="407"/>
      <c r="R23" s="407"/>
      <c r="S23" s="407"/>
      <c r="T23" s="407"/>
      <c r="U23" s="407"/>
      <c r="V23" s="407"/>
      <c r="W23" s="407"/>
      <c r="X23" s="407"/>
      <c r="Y23" s="407"/>
      <c r="Z23" s="407"/>
      <c r="AA23" s="407"/>
      <c r="AB23" s="407"/>
      <c r="AC23" s="407"/>
      <c r="AD23" s="407"/>
    </row>
    <row r="24" spans="1:31" outlineLevel="1">
      <c r="A24" t="s">
        <v>969</v>
      </c>
      <c r="E24" t="s">
        <v>791</v>
      </c>
      <c r="K24" s="115">
        <v>220</v>
      </c>
      <c r="M24" s="115">
        <v>220</v>
      </c>
      <c r="O24" s="115">
        <v>220</v>
      </c>
      <c r="Q24" s="115">
        <v>220</v>
      </c>
      <c r="S24" s="115">
        <v>220</v>
      </c>
      <c r="U24" s="115">
        <v>300</v>
      </c>
      <c r="W24" s="115">
        <v>300</v>
      </c>
      <c r="Y24" s="115">
        <v>300</v>
      </c>
      <c r="AA24" s="115">
        <v>330</v>
      </c>
      <c r="AC24" s="115">
        <v>425</v>
      </c>
      <c r="AD24" s="115">
        <v>200</v>
      </c>
    </row>
    <row r="25" spans="1:31" outlineLevel="1">
      <c r="A25">
        <v>130220</v>
      </c>
      <c r="B25" t="s">
        <v>970</v>
      </c>
      <c r="C25" t="s">
        <v>76</v>
      </c>
      <c r="D25" t="str">
        <f>VLOOKUP(C25,'Price Table 8 OHB'!A:B,2,FALSE)</f>
        <v>Product Assurance</v>
      </c>
      <c r="E25" t="s">
        <v>792</v>
      </c>
      <c r="I25" s="115">
        <f>I24*U15*0.001</f>
        <v>0</v>
      </c>
      <c r="K25" s="115">
        <f>K24*U15*0.001</f>
        <v>21.923707175793606</v>
      </c>
      <c r="M25" s="115">
        <f>M24*U15*0.001</f>
        <v>21.923707175793606</v>
      </c>
      <c r="O25" s="115">
        <f>O24*U15*0.001</f>
        <v>21.923707175793606</v>
      </c>
      <c r="Q25" s="115">
        <f>Q24*U15*0.001</f>
        <v>21.923707175793606</v>
      </c>
      <c r="S25" s="115">
        <f>S24*U15*0.001</f>
        <v>21.923707175793606</v>
      </c>
      <c r="U25" s="115">
        <f>U24*U15*0.001</f>
        <v>29.895964330627645</v>
      </c>
      <c r="W25" s="115">
        <f>W24*U15*0.001</f>
        <v>29.895964330627645</v>
      </c>
      <c r="Y25" s="115">
        <f>Y24*U15*0.001</f>
        <v>29.895964330627645</v>
      </c>
      <c r="AA25" s="115">
        <f>AA24*U15*0.001</f>
        <v>32.885560763690407</v>
      </c>
      <c r="AC25" s="115">
        <f>AC24*U15*0.001</f>
        <v>42.352616135055833</v>
      </c>
      <c r="AD25" s="115">
        <f>AD24*U15*0.001</f>
        <v>19.930642887085099</v>
      </c>
      <c r="AE25" s="403">
        <f>SUM(I25:AD25)</f>
        <v>294.47524865668231</v>
      </c>
    </row>
    <row r="26" spans="1:31" outlineLevel="1">
      <c r="A26">
        <v>130220</v>
      </c>
      <c r="B26" t="s">
        <v>970</v>
      </c>
      <c r="C26" t="s">
        <v>76</v>
      </c>
      <c r="D26" t="str">
        <f>VLOOKUP(C26,'Price Table 8 OHB'!A:B,2,FALSE)</f>
        <v>Product Assurance</v>
      </c>
      <c r="E26" t="s">
        <v>793</v>
      </c>
    </row>
    <row r="27" spans="1:31" outlineLevel="1">
      <c r="A27">
        <v>130220</v>
      </c>
      <c r="B27" t="s">
        <v>970</v>
      </c>
      <c r="C27" t="s">
        <v>76</v>
      </c>
      <c r="D27" t="str">
        <f>VLOOKUP(C27,'Price Table 8 OHB'!A:B,2,FALSE)</f>
        <v>Product Assurance</v>
      </c>
      <c r="E27" t="s">
        <v>966</v>
      </c>
    </row>
    <row r="28" spans="1:31" outlineLevel="1">
      <c r="E28" t="s">
        <v>794</v>
      </c>
      <c r="H28" s="118"/>
      <c r="I28" s="115">
        <f t="shared" ref="I28:AD28" si="2">I25+I26+I27</f>
        <v>0</v>
      </c>
      <c r="K28" s="115">
        <f t="shared" si="2"/>
        <v>21.923707175793606</v>
      </c>
      <c r="M28" s="115">
        <f>M25+M26+M27</f>
        <v>21.923707175793606</v>
      </c>
      <c r="O28" s="115">
        <f t="shared" si="2"/>
        <v>21.923707175793606</v>
      </c>
      <c r="Q28" s="115">
        <f t="shared" si="2"/>
        <v>21.923707175793606</v>
      </c>
      <c r="S28" s="115">
        <f t="shared" si="2"/>
        <v>21.923707175793606</v>
      </c>
      <c r="U28" s="115">
        <f t="shared" si="2"/>
        <v>29.895964330627645</v>
      </c>
      <c r="W28" s="115">
        <f t="shared" si="2"/>
        <v>29.895964330627645</v>
      </c>
      <c r="Y28" s="115">
        <f t="shared" si="2"/>
        <v>29.895964330627645</v>
      </c>
      <c r="AA28" s="115">
        <f t="shared" si="2"/>
        <v>32.885560763690407</v>
      </c>
      <c r="AC28" s="115">
        <f t="shared" si="2"/>
        <v>42.352616135055833</v>
      </c>
      <c r="AD28" s="115">
        <f t="shared" si="2"/>
        <v>19.930642887085099</v>
      </c>
      <c r="AE28" s="403">
        <f>SUM(I28:AD28)</f>
        <v>294.47524865668231</v>
      </c>
    </row>
    <row r="29" spans="1:31" outlineLevel="1">
      <c r="A29" s="90"/>
      <c r="B29" s="91"/>
      <c r="C29" s="90"/>
      <c r="D29" s="90"/>
      <c r="E29" s="90"/>
      <c r="F29" s="90"/>
      <c r="G29" s="90"/>
      <c r="H29" s="414"/>
      <c r="I29" s="414"/>
      <c r="J29" s="414"/>
      <c r="K29" s="414"/>
      <c r="L29" s="414"/>
      <c r="M29" s="414"/>
      <c r="N29" s="414"/>
      <c r="O29" s="414"/>
      <c r="P29" s="414"/>
      <c r="Q29" s="414"/>
      <c r="R29" s="414"/>
      <c r="S29" s="414"/>
      <c r="T29" s="414"/>
      <c r="U29" s="414"/>
      <c r="V29" s="414"/>
      <c r="W29" s="414"/>
      <c r="X29" s="414"/>
      <c r="Y29" s="414"/>
      <c r="Z29" s="414"/>
      <c r="AA29" s="414"/>
      <c r="AB29" s="414"/>
      <c r="AC29" s="414"/>
      <c r="AD29" s="414"/>
    </row>
    <row r="30" spans="1:31" outlineLevel="1">
      <c r="A30" t="s">
        <v>973</v>
      </c>
      <c r="E30" t="s">
        <v>791</v>
      </c>
      <c r="I30" s="115">
        <v>0</v>
      </c>
      <c r="K30" s="115">
        <v>825</v>
      </c>
      <c r="M30" s="115">
        <v>825</v>
      </c>
      <c r="O30" s="115">
        <v>825</v>
      </c>
      <c r="Q30" s="115">
        <v>825</v>
      </c>
      <c r="S30" s="115">
        <v>825</v>
      </c>
      <c r="U30" s="115">
        <v>825</v>
      </c>
      <c r="W30" s="115">
        <v>825</v>
      </c>
      <c r="Y30" s="115">
        <v>825</v>
      </c>
      <c r="AA30" s="115">
        <v>825</v>
      </c>
    </row>
    <row r="31" spans="1:31" outlineLevel="1">
      <c r="A31">
        <v>130210</v>
      </c>
      <c r="B31" t="s">
        <v>974</v>
      </c>
      <c r="C31" t="s">
        <v>76</v>
      </c>
      <c r="D31" t="str">
        <f>VLOOKUP(C31,'Price Table 8 OHB'!A:B,2,FALSE)</f>
        <v>Product Assurance</v>
      </c>
      <c r="E31" t="s">
        <v>792</v>
      </c>
      <c r="I31" s="115">
        <f>I30*U15*0.001</f>
        <v>0</v>
      </c>
      <c r="K31" s="115">
        <f>K30*U15*0.001</f>
        <v>82.213901909226024</v>
      </c>
      <c r="M31" s="115">
        <f>M30*U15*0.001</f>
        <v>82.213901909226024</v>
      </c>
      <c r="O31" s="115">
        <f>O30*U15*0.001</f>
        <v>82.213901909226024</v>
      </c>
      <c r="Q31" s="115">
        <f>Q30*U15*0.001</f>
        <v>82.213901909226024</v>
      </c>
      <c r="S31" s="115">
        <f>S30*U15*0.001</f>
        <v>82.213901909226024</v>
      </c>
      <c r="U31" s="115">
        <f>U30*U15*0.001</f>
        <v>82.213901909226024</v>
      </c>
      <c r="W31" s="115">
        <f>W30*U15*0.001</f>
        <v>82.213901909226024</v>
      </c>
      <c r="Y31" s="115">
        <f>Y30*U15*0.001</f>
        <v>82.213901909226024</v>
      </c>
      <c r="AA31" s="115">
        <f>AA30*U15*0.001</f>
        <v>82.213901909226024</v>
      </c>
      <c r="AC31" s="115">
        <f>AC30*U15*0.001</f>
        <v>0</v>
      </c>
      <c r="AD31" s="115">
        <f>AD30*U15*0.001</f>
        <v>0</v>
      </c>
      <c r="AE31" s="403">
        <f>SUM(I31:AD31)</f>
        <v>739.92511718303422</v>
      </c>
    </row>
    <row r="32" spans="1:31" outlineLevel="1">
      <c r="A32">
        <v>130210</v>
      </c>
      <c r="B32" t="s">
        <v>974</v>
      </c>
      <c r="C32" t="s">
        <v>76</v>
      </c>
      <c r="D32" t="str">
        <f>VLOOKUP(C32,'Price Table 8 OHB'!A:B,2,FALSE)</f>
        <v>Product Assurance</v>
      </c>
      <c r="E32" t="s">
        <v>793</v>
      </c>
      <c r="AE32" s="403">
        <f>SUM(I32:AD32)</f>
        <v>0</v>
      </c>
    </row>
    <row r="33" spans="1:34" outlineLevel="1">
      <c r="A33">
        <v>130210</v>
      </c>
      <c r="B33" t="s">
        <v>974</v>
      </c>
      <c r="C33" t="s">
        <v>76</v>
      </c>
      <c r="D33" t="str">
        <f>VLOOKUP(C33,'Price Table 8 OHB'!A:B,2,FALSE)</f>
        <v>Product Assurance</v>
      </c>
      <c r="E33" t="s">
        <v>966</v>
      </c>
      <c r="K33" s="115">
        <v>20</v>
      </c>
      <c r="M33" s="115">
        <v>10</v>
      </c>
      <c r="O33" s="115">
        <v>10</v>
      </c>
      <c r="Q33" s="115">
        <v>20</v>
      </c>
      <c r="S33" s="115">
        <v>5</v>
      </c>
      <c r="AE33" s="403">
        <f>SUM(I33:AD33)</f>
        <v>65</v>
      </c>
    </row>
    <row r="34" spans="1:34" outlineLevel="1">
      <c r="E34" t="s">
        <v>794</v>
      </c>
      <c r="H34" s="118"/>
      <c r="I34" s="115">
        <f>I31+I32+I33</f>
        <v>0</v>
      </c>
      <c r="K34" s="115">
        <f>K31+K32+K33</f>
        <v>102.21390190922602</v>
      </c>
      <c r="M34" s="115">
        <f t="shared" ref="M34:AD34" si="3">M31+M32+M33</f>
        <v>92.213901909226024</v>
      </c>
      <c r="O34" s="115">
        <f t="shared" si="3"/>
        <v>92.213901909226024</v>
      </c>
      <c r="Q34" s="115">
        <f t="shared" si="3"/>
        <v>102.21390190922602</v>
      </c>
      <c r="S34" s="115">
        <f t="shared" si="3"/>
        <v>87.213901909226024</v>
      </c>
      <c r="U34" s="115">
        <f t="shared" si="3"/>
        <v>82.213901909226024</v>
      </c>
      <c r="W34" s="115">
        <f t="shared" si="3"/>
        <v>82.213901909226024</v>
      </c>
      <c r="Y34" s="115">
        <f t="shared" si="3"/>
        <v>82.213901909226024</v>
      </c>
      <c r="AA34" s="115">
        <f t="shared" si="3"/>
        <v>82.213901909226024</v>
      </c>
      <c r="AC34" s="115">
        <f t="shared" si="3"/>
        <v>0</v>
      </c>
      <c r="AD34" s="115">
        <f t="shared" si="3"/>
        <v>0</v>
      </c>
      <c r="AE34" s="403">
        <f>SUM(I34:AD34)</f>
        <v>804.92511718303422</v>
      </c>
    </row>
    <row r="35" spans="1:34">
      <c r="A35" s="73"/>
      <c r="B35" s="70"/>
      <c r="C35" s="73"/>
      <c r="D35" s="73"/>
      <c r="E35" s="73"/>
      <c r="F35" s="73"/>
      <c r="G35" s="73"/>
      <c r="H35" s="408"/>
      <c r="I35" s="407"/>
      <c r="J35" s="407"/>
      <c r="K35" s="407"/>
      <c r="L35" s="407"/>
      <c r="M35" s="407"/>
      <c r="N35" s="407"/>
      <c r="O35" s="407"/>
      <c r="P35" s="407"/>
      <c r="Q35" s="407"/>
      <c r="R35" s="407"/>
      <c r="S35" s="407"/>
      <c r="T35" s="407"/>
      <c r="U35" s="407"/>
      <c r="V35" s="407"/>
      <c r="W35" s="407"/>
      <c r="X35" s="407"/>
      <c r="Y35" s="407"/>
      <c r="Z35" s="407"/>
      <c r="AA35" s="407"/>
      <c r="AB35" s="407"/>
      <c r="AC35" s="407"/>
      <c r="AD35" s="407"/>
    </row>
    <row r="36" spans="1:34">
      <c r="A36" s="73"/>
      <c r="B36" s="73" t="s">
        <v>975</v>
      </c>
      <c r="C36" s="73"/>
      <c r="D36" s="73"/>
      <c r="E36" s="73" t="s">
        <v>791</v>
      </c>
      <c r="F36" s="73"/>
      <c r="G36" s="73"/>
      <c r="H36" s="407"/>
      <c r="I36" s="407">
        <f>I24+I30</f>
        <v>0</v>
      </c>
      <c r="J36" s="407"/>
      <c r="K36" s="407">
        <f>K24+K30</f>
        <v>1045</v>
      </c>
      <c r="L36" s="407"/>
      <c r="M36" s="407">
        <f t="shared" ref="M36:AD36" si="4">M24+M30</f>
        <v>1045</v>
      </c>
      <c r="N36" s="407"/>
      <c r="O36" s="407">
        <f t="shared" si="4"/>
        <v>1045</v>
      </c>
      <c r="P36" s="407"/>
      <c r="Q36" s="407">
        <f t="shared" si="4"/>
        <v>1045</v>
      </c>
      <c r="R36" s="407"/>
      <c r="S36" s="407">
        <f t="shared" si="4"/>
        <v>1045</v>
      </c>
      <c r="T36" s="407"/>
      <c r="U36" s="407">
        <f t="shared" si="4"/>
        <v>1125</v>
      </c>
      <c r="V36" s="407"/>
      <c r="W36" s="407">
        <f t="shared" si="4"/>
        <v>1125</v>
      </c>
      <c r="X36" s="407"/>
      <c r="Y36" s="407">
        <f t="shared" si="4"/>
        <v>1125</v>
      </c>
      <c r="Z36" s="407"/>
      <c r="AA36" s="407">
        <f t="shared" si="4"/>
        <v>1155</v>
      </c>
      <c r="AB36" s="407"/>
      <c r="AC36" s="407">
        <f t="shared" si="4"/>
        <v>425</v>
      </c>
      <c r="AD36" s="407">
        <f t="shared" si="4"/>
        <v>200</v>
      </c>
    </row>
    <row r="37" spans="1:34">
      <c r="A37" s="73"/>
      <c r="B37" s="73" t="s">
        <v>975</v>
      </c>
      <c r="C37" s="73"/>
      <c r="D37" s="73"/>
      <c r="E37" s="73" t="s">
        <v>792</v>
      </c>
      <c r="F37" s="73"/>
      <c r="G37" s="73"/>
      <c r="H37" s="407"/>
      <c r="I37" s="407">
        <f>I36*U15*0.001</f>
        <v>0</v>
      </c>
      <c r="J37" s="407"/>
      <c r="K37" s="407">
        <f>K36*U15*0.001</f>
        <v>104.13760908501963</v>
      </c>
      <c r="L37" s="407"/>
      <c r="M37" s="407">
        <f>M36*U15*0.001</f>
        <v>104.13760908501963</v>
      </c>
      <c r="N37" s="407"/>
      <c r="O37" s="407">
        <f>O36*U15*0.001</f>
        <v>104.13760908501963</v>
      </c>
      <c r="P37" s="407"/>
      <c r="Q37" s="407">
        <f>Q36*U15*0.001</f>
        <v>104.13760908501963</v>
      </c>
      <c r="R37" s="407"/>
      <c r="S37" s="407">
        <f>S36*U15*0.001</f>
        <v>104.13760908501963</v>
      </c>
      <c r="T37" s="407"/>
      <c r="U37" s="407">
        <f>U36*U15*0.001</f>
        <v>112.10986623985367</v>
      </c>
      <c r="V37" s="407"/>
      <c r="W37" s="407">
        <f>W36*U15*0.001</f>
        <v>112.10986623985367</v>
      </c>
      <c r="X37" s="407"/>
      <c r="Y37" s="407">
        <f>Y36*U15*0.001</f>
        <v>112.10986623985367</v>
      </c>
      <c r="Z37" s="407"/>
      <c r="AA37" s="407">
        <f>AA36*U15*0.001</f>
        <v>115.09946267291643</v>
      </c>
      <c r="AB37" s="407"/>
      <c r="AC37" s="407">
        <f>AC36*U15*0.001</f>
        <v>42.352616135055833</v>
      </c>
      <c r="AD37" s="407">
        <f>AD36*U15*0.001</f>
        <v>19.930642887085099</v>
      </c>
      <c r="AE37" s="403">
        <f>SUM(I37:AD37)</f>
        <v>1034.4003658397164</v>
      </c>
    </row>
    <row r="38" spans="1:34">
      <c r="A38" s="73"/>
      <c r="B38" s="73" t="s">
        <v>975</v>
      </c>
      <c r="C38" s="73"/>
      <c r="D38" s="73"/>
      <c r="E38" s="73" t="s">
        <v>976</v>
      </c>
      <c r="F38" s="73"/>
      <c r="G38" s="73"/>
      <c r="H38" s="407"/>
      <c r="I38" s="407">
        <f>I26+I32</f>
        <v>0</v>
      </c>
      <c r="J38" s="407"/>
      <c r="K38" s="407">
        <f>K26+K32</f>
        <v>0</v>
      </c>
      <c r="L38" s="407"/>
      <c r="M38" s="407">
        <f t="shared" ref="M38:U39" si="5">M26+M32</f>
        <v>0</v>
      </c>
      <c r="N38" s="407"/>
      <c r="O38" s="407">
        <f t="shared" si="5"/>
        <v>0</v>
      </c>
      <c r="P38" s="407"/>
      <c r="Q38" s="407">
        <f t="shared" si="5"/>
        <v>0</v>
      </c>
      <c r="R38" s="407"/>
      <c r="S38" s="407">
        <f t="shared" si="5"/>
        <v>0</v>
      </c>
      <c r="T38" s="407"/>
      <c r="U38" s="407">
        <f t="shared" si="5"/>
        <v>0</v>
      </c>
      <c r="V38" s="407"/>
      <c r="W38" s="407">
        <f>W32+W26</f>
        <v>0</v>
      </c>
      <c r="X38" s="407"/>
      <c r="Y38" s="407">
        <f t="shared" ref="Y38:AD39" si="6">Y26+Y32</f>
        <v>0</v>
      </c>
      <c r="Z38" s="407"/>
      <c r="AA38" s="407">
        <f t="shared" si="6"/>
        <v>0</v>
      </c>
      <c r="AB38" s="407"/>
      <c r="AC38" s="407">
        <f t="shared" si="6"/>
        <v>0</v>
      </c>
      <c r="AD38" s="407">
        <f t="shared" si="6"/>
        <v>0</v>
      </c>
      <c r="AE38" s="403">
        <f>SUM(I38:AD38)</f>
        <v>0</v>
      </c>
    </row>
    <row r="39" spans="1:34">
      <c r="A39" s="73"/>
      <c r="B39" s="73" t="s">
        <v>975</v>
      </c>
      <c r="C39" s="73"/>
      <c r="D39" s="73"/>
      <c r="E39" s="73" t="s">
        <v>966</v>
      </c>
      <c r="F39" s="73"/>
      <c r="G39" s="73"/>
      <c r="H39" s="407"/>
      <c r="I39" s="407">
        <f>I27+I33</f>
        <v>0</v>
      </c>
      <c r="J39" s="407"/>
      <c r="K39" s="407">
        <f>K27+K33</f>
        <v>20</v>
      </c>
      <c r="L39" s="407"/>
      <c r="M39" s="407">
        <f t="shared" si="5"/>
        <v>10</v>
      </c>
      <c r="N39" s="407"/>
      <c r="O39" s="407">
        <f t="shared" si="5"/>
        <v>10</v>
      </c>
      <c r="P39" s="407"/>
      <c r="Q39" s="407">
        <f t="shared" si="5"/>
        <v>20</v>
      </c>
      <c r="R39" s="407"/>
      <c r="S39" s="407">
        <f t="shared" si="5"/>
        <v>5</v>
      </c>
      <c r="T39" s="407"/>
      <c r="U39" s="407">
        <f t="shared" si="5"/>
        <v>0</v>
      </c>
      <c r="V39" s="407"/>
      <c r="W39" s="407">
        <f>W27+W33</f>
        <v>0</v>
      </c>
      <c r="X39" s="407"/>
      <c r="Y39" s="407">
        <f t="shared" si="6"/>
        <v>0</v>
      </c>
      <c r="Z39" s="407"/>
      <c r="AA39" s="407">
        <f t="shared" si="6"/>
        <v>0</v>
      </c>
      <c r="AB39" s="407"/>
      <c r="AC39" s="407">
        <f t="shared" si="6"/>
        <v>0</v>
      </c>
      <c r="AD39" s="407">
        <f t="shared" si="6"/>
        <v>0</v>
      </c>
      <c r="AE39" s="403">
        <f>SUM(I39:AD39)</f>
        <v>65</v>
      </c>
    </row>
    <row r="40" spans="1:34">
      <c r="A40" s="73"/>
      <c r="B40" s="73" t="s">
        <v>975</v>
      </c>
      <c r="C40" s="73"/>
      <c r="D40" s="73"/>
      <c r="E40" s="73" t="s">
        <v>794</v>
      </c>
      <c r="F40" s="73"/>
      <c r="G40" s="73"/>
      <c r="H40" s="407"/>
      <c r="I40" s="407">
        <f>I37+I38+I39</f>
        <v>0</v>
      </c>
      <c r="J40" s="407"/>
      <c r="K40" s="407">
        <f>K37+K38+K39</f>
        <v>124.13760908501963</v>
      </c>
      <c r="L40" s="407"/>
      <c r="M40" s="407">
        <f t="shared" ref="M40:AD40" si="7">M37+M38+M39</f>
        <v>114.13760908501963</v>
      </c>
      <c r="N40" s="407"/>
      <c r="O40" s="407">
        <f t="shared" si="7"/>
        <v>114.13760908501963</v>
      </c>
      <c r="P40" s="407"/>
      <c r="Q40" s="407">
        <f t="shared" si="7"/>
        <v>124.13760908501963</v>
      </c>
      <c r="R40" s="407"/>
      <c r="S40" s="407">
        <f t="shared" si="7"/>
        <v>109.13760908501963</v>
      </c>
      <c r="T40" s="407"/>
      <c r="U40" s="407">
        <f t="shared" si="7"/>
        <v>112.10986623985367</v>
      </c>
      <c r="V40" s="407"/>
      <c r="W40" s="407">
        <f t="shared" si="7"/>
        <v>112.10986623985367</v>
      </c>
      <c r="X40" s="407"/>
      <c r="Y40" s="407">
        <f t="shared" si="7"/>
        <v>112.10986623985367</v>
      </c>
      <c r="Z40" s="407"/>
      <c r="AA40" s="407">
        <f t="shared" si="7"/>
        <v>115.09946267291643</v>
      </c>
      <c r="AB40" s="407"/>
      <c r="AC40" s="407">
        <f t="shared" si="7"/>
        <v>42.352616135055833</v>
      </c>
      <c r="AD40" s="407">
        <f t="shared" si="7"/>
        <v>19.930642887085099</v>
      </c>
      <c r="AE40" s="403">
        <f>SUM(I40:AD40)</f>
        <v>1099.4003658397164</v>
      </c>
    </row>
    <row r="41" spans="1:34">
      <c r="A41" s="73"/>
      <c r="B41" s="73" t="s">
        <v>975</v>
      </c>
      <c r="C41" s="73"/>
      <c r="D41" s="73"/>
      <c r="E41" s="73" t="s">
        <v>1273</v>
      </c>
      <c r="F41" s="73"/>
      <c r="G41" s="73"/>
      <c r="H41" s="407"/>
      <c r="I41" s="407">
        <f>I40/2</f>
        <v>0</v>
      </c>
      <c r="J41" s="407"/>
      <c r="K41" s="407">
        <f t="shared" ref="K41:AD41" si="8">K40/2</f>
        <v>62.068804542509817</v>
      </c>
      <c r="L41" s="407">
        <f t="shared" si="8"/>
        <v>0</v>
      </c>
      <c r="M41" s="407">
        <f t="shared" si="8"/>
        <v>57.068804542509817</v>
      </c>
      <c r="N41" s="407"/>
      <c r="O41" s="407">
        <f t="shared" si="8"/>
        <v>57.068804542509817</v>
      </c>
      <c r="P41" s="407"/>
      <c r="Q41" s="407">
        <f t="shared" si="8"/>
        <v>62.068804542509817</v>
      </c>
      <c r="R41" s="407"/>
      <c r="S41" s="407">
        <f t="shared" si="8"/>
        <v>54.568804542509817</v>
      </c>
      <c r="T41" s="407"/>
      <c r="U41" s="407">
        <f t="shared" si="8"/>
        <v>56.054933119926837</v>
      </c>
      <c r="V41" s="407"/>
      <c r="W41" s="407">
        <f t="shared" si="8"/>
        <v>56.054933119926837</v>
      </c>
      <c r="X41" s="407"/>
      <c r="Y41" s="407">
        <f t="shared" si="8"/>
        <v>56.054933119926837</v>
      </c>
      <c r="Z41" s="407"/>
      <c r="AA41" s="407">
        <f t="shared" si="8"/>
        <v>57.549731336458215</v>
      </c>
      <c r="AB41" s="407"/>
      <c r="AC41" s="407">
        <f t="shared" si="8"/>
        <v>21.176308067527916</v>
      </c>
      <c r="AD41" s="407">
        <f t="shared" si="8"/>
        <v>9.9653214435425497</v>
      </c>
      <c r="AE41" s="403">
        <f>(AE28+AE34)*1.1</f>
        <v>1209.3404024236881</v>
      </c>
    </row>
    <row r="42" spans="1:34">
      <c r="A42" s="73" t="s">
        <v>979</v>
      </c>
      <c r="B42" s="70"/>
      <c r="C42" s="73"/>
      <c r="D42" s="73"/>
      <c r="E42" s="73" t="s">
        <v>791</v>
      </c>
      <c r="F42" s="73"/>
      <c r="G42" s="73"/>
      <c r="H42" s="407"/>
      <c r="I42" s="407">
        <v>2000</v>
      </c>
      <c r="J42" s="407"/>
      <c r="K42" s="407">
        <v>1000</v>
      </c>
      <c r="L42" s="407"/>
      <c r="M42" s="407"/>
      <c r="N42" s="407"/>
      <c r="O42" s="407"/>
      <c r="P42" s="407"/>
      <c r="Q42" s="407"/>
      <c r="R42" s="407"/>
      <c r="S42" s="407"/>
      <c r="T42" s="407"/>
      <c r="U42" s="407"/>
      <c r="V42" s="407"/>
      <c r="W42" s="407"/>
      <c r="X42" s="407"/>
      <c r="Y42" s="407"/>
      <c r="Z42" s="407"/>
      <c r="AA42" s="407"/>
      <c r="AB42" s="407"/>
      <c r="AC42" s="407"/>
      <c r="AD42" s="407"/>
    </row>
    <row r="43" spans="1:34">
      <c r="A43" s="73">
        <v>210300</v>
      </c>
      <c r="B43" s="73" t="s">
        <v>980</v>
      </c>
      <c r="C43" s="73" t="s">
        <v>62</v>
      </c>
      <c r="D43" s="73" t="str">
        <f>VLOOKUP(C43,'Price Table 8 OHB'!A:B,2,FALSE)</f>
        <v>(Project &amp; Mission) Engineering</v>
      </c>
      <c r="E43" s="73" t="s">
        <v>792</v>
      </c>
      <c r="F43" s="73"/>
      <c r="G43" s="73"/>
      <c r="H43" s="407"/>
      <c r="I43" s="407">
        <f>I42*U15*0.001</f>
        <v>199.30642887085097</v>
      </c>
      <c r="J43" s="407"/>
      <c r="K43" s="407">
        <f>K42*U15*0.001</f>
        <v>99.653214435425483</v>
      </c>
      <c r="L43" s="407"/>
      <c r="M43" s="407">
        <f>M42*U15*0.001</f>
        <v>0</v>
      </c>
      <c r="N43" s="407"/>
      <c r="O43" s="407">
        <f>O42*U15*0.001</f>
        <v>0</v>
      </c>
      <c r="P43" s="407"/>
      <c r="Q43" s="407">
        <f>Q42*U15*0.001</f>
        <v>0</v>
      </c>
      <c r="R43" s="407"/>
      <c r="S43" s="407">
        <f>S42*U15*0.001</f>
        <v>0</v>
      </c>
      <c r="T43" s="407"/>
      <c r="U43" s="407">
        <f>U42*U15*0.001</f>
        <v>0</v>
      </c>
      <c r="V43" s="407"/>
      <c r="W43" s="407">
        <f>W42*U15*0.001</f>
        <v>0</v>
      </c>
      <c r="X43" s="407"/>
      <c r="Y43" s="407">
        <f>Y42*U15*0.001</f>
        <v>0</v>
      </c>
      <c r="Z43" s="407"/>
      <c r="AA43" s="407">
        <f>AA42*U15*0.001</f>
        <v>0</v>
      </c>
      <c r="AB43" s="407"/>
      <c r="AC43" s="407">
        <f>AC42*U15*0.001</f>
        <v>0</v>
      </c>
      <c r="AD43" s="407">
        <f>AD42*U15*0.001</f>
        <v>0</v>
      </c>
      <c r="AE43" s="403">
        <f>SUM(I43:AD43)</f>
        <v>298.95964330627646</v>
      </c>
    </row>
    <row r="44" spans="1:34">
      <c r="A44" s="73">
        <v>210300</v>
      </c>
      <c r="B44" s="73" t="s">
        <v>980</v>
      </c>
      <c r="C44" s="73" t="s">
        <v>62</v>
      </c>
      <c r="D44" s="73" t="str">
        <f>VLOOKUP(C44,'Price Table 8 OHB'!A:B,2,FALSE)</f>
        <v>(Project &amp; Mission) Engineering</v>
      </c>
      <c r="E44" s="73" t="s">
        <v>793</v>
      </c>
      <c r="F44" s="73"/>
      <c r="G44" s="73"/>
      <c r="H44" s="407"/>
      <c r="I44" s="407"/>
      <c r="J44" s="407"/>
      <c r="K44" s="407"/>
      <c r="L44" s="407"/>
      <c r="M44" s="407"/>
      <c r="N44" s="407"/>
      <c r="O44" s="407"/>
      <c r="P44" s="407"/>
      <c r="Q44" s="407"/>
      <c r="R44" s="407"/>
      <c r="S44" s="407"/>
      <c r="T44" s="407"/>
      <c r="U44" s="407"/>
      <c r="V44" s="407"/>
      <c r="W44" s="407"/>
      <c r="X44" s="407"/>
      <c r="Y44" s="407"/>
      <c r="Z44" s="407"/>
      <c r="AA44" s="407"/>
      <c r="AB44" s="407"/>
      <c r="AC44" s="407"/>
      <c r="AD44" s="407"/>
      <c r="AE44" s="403">
        <f>SUM(I44:AD44)</f>
        <v>0</v>
      </c>
      <c r="AG44" t="s">
        <v>1274</v>
      </c>
    </row>
    <row r="45" spans="1:34">
      <c r="A45" s="73">
        <v>210300</v>
      </c>
      <c r="B45" s="73" t="s">
        <v>980</v>
      </c>
      <c r="C45" s="73" t="s">
        <v>62</v>
      </c>
      <c r="D45" s="73" t="str">
        <f>VLOOKUP(C45,'Price Table 8 OHB'!A:B,2,FALSE)</f>
        <v>(Project &amp; Mission) Engineering</v>
      </c>
      <c r="E45" s="73" t="s">
        <v>966</v>
      </c>
      <c r="F45" s="73"/>
      <c r="G45" s="73"/>
      <c r="H45" s="407"/>
      <c r="I45" s="407">
        <v>10</v>
      </c>
      <c r="J45" s="407"/>
      <c r="K45" s="407">
        <v>5</v>
      </c>
      <c r="L45" s="407"/>
      <c r="M45" s="407"/>
      <c r="N45" s="407"/>
      <c r="O45" s="407"/>
      <c r="P45" s="407"/>
      <c r="Q45" s="407"/>
      <c r="R45" s="407"/>
      <c r="S45" s="407"/>
      <c r="T45" s="407"/>
      <c r="U45" s="407"/>
      <c r="V45" s="407"/>
      <c r="W45" s="407"/>
      <c r="X45" s="407"/>
      <c r="Y45" s="407"/>
      <c r="Z45" s="407"/>
      <c r="AA45" s="407"/>
      <c r="AB45" s="407"/>
      <c r="AC45" s="407"/>
      <c r="AD45" s="407"/>
      <c r="AE45" s="403">
        <f>SUM(I45:AD45)</f>
        <v>15</v>
      </c>
      <c r="AH45" t="s">
        <v>1275</v>
      </c>
    </row>
    <row r="46" spans="1:34">
      <c r="A46" s="73"/>
      <c r="B46" s="70"/>
      <c r="C46" s="73"/>
      <c r="D46" s="73"/>
      <c r="E46" s="73" t="s">
        <v>794</v>
      </c>
      <c r="F46" s="73"/>
      <c r="G46" s="73"/>
      <c r="H46" s="408"/>
      <c r="I46" s="407">
        <f t="shared" ref="I46:U46" si="9">I43+I44+I45</f>
        <v>209.30642887085097</v>
      </c>
      <c r="J46" s="407"/>
      <c r="K46" s="407">
        <f t="shared" si="9"/>
        <v>104.65321443542548</v>
      </c>
      <c r="L46" s="407"/>
      <c r="M46" s="407">
        <f>M43+M44+M45</f>
        <v>0</v>
      </c>
      <c r="N46" s="407"/>
      <c r="O46" s="407">
        <f t="shared" si="9"/>
        <v>0</v>
      </c>
      <c r="P46" s="407"/>
      <c r="Q46" s="407">
        <f t="shared" si="9"/>
        <v>0</v>
      </c>
      <c r="R46" s="407"/>
      <c r="S46" s="407">
        <f t="shared" si="9"/>
        <v>0</v>
      </c>
      <c r="T46" s="407"/>
      <c r="U46" s="407">
        <f t="shared" si="9"/>
        <v>0</v>
      </c>
      <c r="V46" s="407"/>
      <c r="W46" s="407">
        <f>W43+W44+W45</f>
        <v>0</v>
      </c>
      <c r="X46" s="407"/>
      <c r="Y46" s="407">
        <f>Y43+Y44+Y45</f>
        <v>0</v>
      </c>
      <c r="Z46" s="407"/>
      <c r="AA46" s="407">
        <f>AA43+AA44+AA45</f>
        <v>0</v>
      </c>
      <c r="AB46" s="407"/>
      <c r="AC46" s="407">
        <f>AC43+AC44+AC45</f>
        <v>0</v>
      </c>
      <c r="AD46" s="407">
        <f>AD43+AD44+AD45</f>
        <v>0</v>
      </c>
      <c r="AE46" s="403">
        <f>SUM(I46:AD46)</f>
        <v>313.95964330627646</v>
      </c>
      <c r="AH46" t="s">
        <v>1276</v>
      </c>
    </row>
    <row r="47" spans="1:34">
      <c r="A47" s="73"/>
      <c r="B47" s="70"/>
      <c r="C47" s="73"/>
      <c r="D47" s="73"/>
      <c r="E47" s="73"/>
      <c r="F47" s="73"/>
      <c r="G47" s="73"/>
      <c r="H47" s="407"/>
      <c r="I47" s="407"/>
      <c r="J47" s="407"/>
      <c r="K47" s="407"/>
      <c r="L47" s="407"/>
      <c r="M47" s="407"/>
      <c r="N47" s="407"/>
      <c r="O47" s="407"/>
      <c r="P47" s="407"/>
      <c r="Q47" s="407"/>
      <c r="R47" s="407"/>
      <c r="S47" s="407"/>
      <c r="T47" s="407"/>
      <c r="U47" s="407"/>
      <c r="V47" s="407"/>
      <c r="W47" s="407"/>
      <c r="X47" s="407"/>
      <c r="Y47" s="407"/>
      <c r="Z47" s="407"/>
      <c r="AA47" s="407"/>
      <c r="AB47" s="407"/>
      <c r="AC47" s="407"/>
      <c r="AD47" s="407"/>
    </row>
    <row r="48" spans="1:34" outlineLevel="1">
      <c r="A48" t="s">
        <v>983</v>
      </c>
      <c r="B48"/>
      <c r="E48" t="s">
        <v>791</v>
      </c>
      <c r="K48" s="115">
        <v>970</v>
      </c>
      <c r="AG48" t="s">
        <v>1277</v>
      </c>
    </row>
    <row r="49" spans="1:34" outlineLevel="1">
      <c r="A49">
        <v>450100</v>
      </c>
      <c r="B49" t="s">
        <v>984</v>
      </c>
      <c r="C49" t="s">
        <v>204</v>
      </c>
      <c r="D49" t="str">
        <f>VLOOKUP(C49,'Price Table 8 OHB'!A:B,2,FALSE)</f>
        <v>AOCS / GNC - Engineering and SW</v>
      </c>
      <c r="E49" t="s">
        <v>792</v>
      </c>
      <c r="I49" s="115">
        <f>I48*U15*0.001</f>
        <v>0</v>
      </c>
      <c r="K49" s="115">
        <f>K48*U15*0.001</f>
        <v>96.663618002362725</v>
      </c>
      <c r="L49" s="115">
        <f>L48*U15*0.001</f>
        <v>0</v>
      </c>
      <c r="M49" s="115">
        <f>M48*U15*0.001</f>
        <v>0</v>
      </c>
      <c r="O49" s="115">
        <f>O48*U15*0.001</f>
        <v>0</v>
      </c>
      <c r="Q49" s="115">
        <f>Q48*U15*0.001</f>
        <v>0</v>
      </c>
      <c r="S49" s="115">
        <f>S48*U15*0.001</f>
        <v>0</v>
      </c>
      <c r="U49" s="115">
        <f>U48*U15*0.001</f>
        <v>0</v>
      </c>
      <c r="W49" s="115">
        <f>W48*U15*0.001</f>
        <v>0</v>
      </c>
      <c r="Y49" s="115">
        <f>Y48*U15*0.001</f>
        <v>0</v>
      </c>
      <c r="AA49" s="115">
        <f>AA48*U15*0.001</f>
        <v>0</v>
      </c>
      <c r="AC49" s="115">
        <f>AC48*U15*0.001</f>
        <v>0</v>
      </c>
      <c r="AD49" s="115">
        <f>AD48*U15*0.001</f>
        <v>0</v>
      </c>
      <c r="AE49" s="403">
        <f>SUM(I49:AD49)</f>
        <v>96.663618002362725</v>
      </c>
    </row>
    <row r="50" spans="1:34" outlineLevel="1">
      <c r="A50">
        <v>450100</v>
      </c>
      <c r="B50" t="s">
        <v>984</v>
      </c>
      <c r="C50" t="s">
        <v>592</v>
      </c>
      <c r="D50" t="str">
        <f>VLOOKUP(C50,'Price Table 8 OHB'!A:B,2,FALSE)</f>
        <v>AOCS / GNC - HW procurements</v>
      </c>
      <c r="E50" t="s">
        <v>793</v>
      </c>
      <c r="AE50" s="403">
        <f>SUM(I50:AD50)</f>
        <v>0</v>
      </c>
      <c r="AG50" t="s">
        <v>1278</v>
      </c>
    </row>
    <row r="51" spans="1:34" outlineLevel="1">
      <c r="A51">
        <v>450100</v>
      </c>
      <c r="B51" t="s">
        <v>984</v>
      </c>
      <c r="C51" t="s">
        <v>204</v>
      </c>
      <c r="D51" t="str">
        <f>VLOOKUP(C51,'Price Table 8 OHB'!A:B,2,FALSE)</f>
        <v>AOCS / GNC - Engineering and SW</v>
      </c>
      <c r="E51" t="s">
        <v>966</v>
      </c>
      <c r="AE51" s="403">
        <f>SUM(I51:AD51)</f>
        <v>0</v>
      </c>
      <c r="AH51" t="s">
        <v>1279</v>
      </c>
    </row>
    <row r="52" spans="1:34" outlineLevel="1">
      <c r="B52"/>
      <c r="E52" t="s">
        <v>794</v>
      </c>
      <c r="I52" s="115">
        <f t="shared" ref="I52:AD52" si="10">I49+I50+I51</f>
        <v>0</v>
      </c>
      <c r="K52" s="115">
        <f t="shared" si="10"/>
        <v>96.663618002362725</v>
      </c>
      <c r="L52" s="115">
        <f t="shared" si="10"/>
        <v>0</v>
      </c>
      <c r="M52" s="115">
        <f>M49+M50+M51</f>
        <v>0</v>
      </c>
      <c r="O52" s="115">
        <f t="shared" si="10"/>
        <v>0</v>
      </c>
      <c r="Q52" s="115">
        <f t="shared" si="10"/>
        <v>0</v>
      </c>
      <c r="S52" s="115">
        <f t="shared" si="10"/>
        <v>0</v>
      </c>
      <c r="U52" s="115">
        <f t="shared" si="10"/>
        <v>0</v>
      </c>
      <c r="W52" s="115">
        <f t="shared" si="10"/>
        <v>0</v>
      </c>
      <c r="Y52" s="115">
        <f t="shared" si="10"/>
        <v>0</v>
      </c>
      <c r="AA52" s="115">
        <f t="shared" si="10"/>
        <v>0</v>
      </c>
      <c r="AC52" s="115">
        <f t="shared" si="10"/>
        <v>0</v>
      </c>
      <c r="AD52" s="115">
        <f t="shared" si="10"/>
        <v>0</v>
      </c>
      <c r="AE52" s="403">
        <f>SUM(I52:AD52)</f>
        <v>96.663618002362725</v>
      </c>
    </row>
    <row r="53" spans="1:34" outlineLevel="1">
      <c r="A53" s="109"/>
      <c r="B53" s="109"/>
      <c r="C53" s="109"/>
      <c r="D53" s="109"/>
      <c r="E53" s="109"/>
      <c r="F53" s="109"/>
      <c r="G53" s="109"/>
      <c r="H53" s="415"/>
      <c r="I53" s="415"/>
      <c r="J53" s="415"/>
      <c r="K53" s="415"/>
      <c r="L53" s="415"/>
      <c r="M53" s="415"/>
      <c r="N53" s="415"/>
      <c r="O53" s="415"/>
      <c r="P53" s="415"/>
      <c r="Q53" s="415"/>
      <c r="R53" s="415"/>
      <c r="S53" s="415"/>
      <c r="T53" s="415"/>
      <c r="U53" s="415"/>
      <c r="V53" s="415"/>
      <c r="W53" s="415"/>
      <c r="X53" s="415"/>
      <c r="Y53" s="415"/>
      <c r="Z53" s="415"/>
      <c r="AA53" s="415"/>
      <c r="AB53" s="415"/>
      <c r="AC53" s="415"/>
      <c r="AD53" s="415"/>
      <c r="AE53" s="409"/>
      <c r="AG53" t="s">
        <v>1280</v>
      </c>
    </row>
    <row r="54" spans="1:34" outlineLevel="1">
      <c r="A54" t="s">
        <v>987</v>
      </c>
      <c r="B54"/>
      <c r="E54" t="s">
        <v>791</v>
      </c>
      <c r="K54" s="115">
        <v>993</v>
      </c>
    </row>
    <row r="55" spans="1:34" outlineLevel="1">
      <c r="A55">
        <v>450200</v>
      </c>
      <c r="B55" t="s">
        <v>988</v>
      </c>
      <c r="C55" t="s">
        <v>204</v>
      </c>
      <c r="D55" t="str">
        <f>VLOOKUP(C55,'Price Table 8 OHB'!A:B,2,FALSE)</f>
        <v>AOCS / GNC - Engineering and SW</v>
      </c>
      <c r="E55" t="s">
        <v>792</v>
      </c>
      <c r="I55" s="115">
        <f>I54*U15*0.001</f>
        <v>0</v>
      </c>
      <c r="K55" s="115">
        <f>K54*U15*0.001</f>
        <v>98.95564193437751</v>
      </c>
      <c r="M55" s="115">
        <f>M54*U15*0.001</f>
        <v>0</v>
      </c>
      <c r="O55" s="115">
        <f>O54*U15*0.001</f>
        <v>0</v>
      </c>
      <c r="Q55" s="115">
        <f>Q54*U15*0.001</f>
        <v>0</v>
      </c>
      <c r="S55" s="115">
        <f>S54*U15*0.001</f>
        <v>0</v>
      </c>
      <c r="U55" s="115">
        <f>U54*U15*0.001</f>
        <v>0</v>
      </c>
      <c r="W55" s="115">
        <f>W54*U15*0.001</f>
        <v>0</v>
      </c>
      <c r="Y55" s="115">
        <f>Y54*U15*0.001</f>
        <v>0</v>
      </c>
      <c r="AA55" s="115">
        <f>AA54*U15*0.001</f>
        <v>0</v>
      </c>
      <c r="AC55" s="115">
        <f>AC54*U15*0.001</f>
        <v>0</v>
      </c>
      <c r="AD55" s="115">
        <f>AD54*U15*0.001</f>
        <v>0</v>
      </c>
      <c r="AE55" s="403">
        <f>SUM(I55:AD55)</f>
        <v>98.95564193437751</v>
      </c>
      <c r="AG55" t="s">
        <v>1281</v>
      </c>
    </row>
    <row r="56" spans="1:34" outlineLevel="1">
      <c r="A56">
        <v>450200</v>
      </c>
      <c r="B56" t="s">
        <v>988</v>
      </c>
      <c r="C56" t="s">
        <v>592</v>
      </c>
      <c r="D56" t="str">
        <f>VLOOKUP(C56,'Price Table 8 OHB'!A:B,2,FALSE)</f>
        <v>AOCS / GNC - HW procurements</v>
      </c>
      <c r="E56" t="s">
        <v>793</v>
      </c>
      <c r="AE56" s="403">
        <f>SUM(I56:AD56)</f>
        <v>0</v>
      </c>
    </row>
    <row r="57" spans="1:34" outlineLevel="1">
      <c r="A57">
        <v>450200</v>
      </c>
      <c r="B57" t="s">
        <v>988</v>
      </c>
      <c r="C57" t="s">
        <v>204</v>
      </c>
      <c r="D57" t="str">
        <f>VLOOKUP(C57,'Price Table 8 OHB'!A:B,2,FALSE)</f>
        <v>AOCS / GNC - Engineering and SW</v>
      </c>
      <c r="E57" t="s">
        <v>966</v>
      </c>
      <c r="AE57" s="403">
        <f>SUM(I57:AD57)</f>
        <v>0</v>
      </c>
      <c r="AG57" t="s">
        <v>1282</v>
      </c>
    </row>
    <row r="58" spans="1:34" outlineLevel="1">
      <c r="B58"/>
      <c r="E58" t="s">
        <v>794</v>
      </c>
      <c r="I58" s="115">
        <f t="shared" ref="I58:AD58" si="11">I55+I56+I57</f>
        <v>0</v>
      </c>
      <c r="K58" s="115">
        <f t="shared" si="11"/>
        <v>98.95564193437751</v>
      </c>
      <c r="M58" s="115">
        <f>M55+M56+M57</f>
        <v>0</v>
      </c>
      <c r="O58" s="115">
        <f t="shared" si="11"/>
        <v>0</v>
      </c>
      <c r="Q58" s="115">
        <f t="shared" si="11"/>
        <v>0</v>
      </c>
      <c r="S58" s="115">
        <f t="shared" si="11"/>
        <v>0</v>
      </c>
      <c r="U58" s="115">
        <f t="shared" si="11"/>
        <v>0</v>
      </c>
      <c r="W58" s="115">
        <f t="shared" si="11"/>
        <v>0</v>
      </c>
      <c r="Y58" s="115">
        <f t="shared" si="11"/>
        <v>0</v>
      </c>
      <c r="AA58" s="115">
        <f t="shared" si="11"/>
        <v>0</v>
      </c>
      <c r="AC58" s="115">
        <f t="shared" si="11"/>
        <v>0</v>
      </c>
      <c r="AD58" s="115">
        <f t="shared" si="11"/>
        <v>0</v>
      </c>
      <c r="AE58" s="403">
        <f>SUM(I58:AD58)</f>
        <v>98.95564193437751</v>
      </c>
    </row>
    <row r="59" spans="1:34" outlineLevel="1">
      <c r="A59" s="109"/>
      <c r="B59" s="109"/>
      <c r="C59" s="109"/>
      <c r="D59" s="109"/>
      <c r="E59" s="109"/>
      <c r="F59" s="109"/>
      <c r="G59" s="109"/>
      <c r="H59" s="415"/>
      <c r="I59" s="415"/>
      <c r="J59" s="415"/>
      <c r="K59" s="415"/>
      <c r="L59" s="415"/>
      <c r="M59" s="415"/>
      <c r="N59" s="415"/>
      <c r="O59" s="415"/>
      <c r="P59" s="415"/>
      <c r="Q59" s="415"/>
      <c r="R59" s="415"/>
      <c r="S59" s="415"/>
      <c r="T59" s="415"/>
      <c r="U59" s="415"/>
      <c r="V59" s="415"/>
      <c r="W59" s="415"/>
      <c r="X59" s="415"/>
      <c r="Y59" s="415"/>
      <c r="Z59" s="415"/>
      <c r="AA59" s="415"/>
      <c r="AB59" s="415"/>
      <c r="AC59" s="415"/>
      <c r="AD59" s="415"/>
      <c r="AE59" s="409"/>
      <c r="AG59" t="s">
        <v>1283</v>
      </c>
    </row>
    <row r="60" spans="1:34" outlineLevel="1">
      <c r="A60" t="s">
        <v>991</v>
      </c>
      <c r="B60"/>
      <c r="E60" t="s">
        <v>791</v>
      </c>
      <c r="M60" s="115">
        <v>290</v>
      </c>
      <c r="O60" s="115">
        <v>350</v>
      </c>
    </row>
    <row r="61" spans="1:34" outlineLevel="1">
      <c r="A61">
        <v>450300</v>
      </c>
      <c r="B61" t="s">
        <v>992</v>
      </c>
      <c r="C61" t="s">
        <v>204</v>
      </c>
      <c r="D61" t="str">
        <f>VLOOKUP(C61,'Price Table 8 OHB'!A:B,2,FALSE)</f>
        <v>AOCS / GNC - Engineering and SW</v>
      </c>
      <c r="E61" t="s">
        <v>792</v>
      </c>
      <c r="I61" s="115">
        <f>I60*U15*0.001</f>
        <v>0</v>
      </c>
      <c r="K61" s="115">
        <f>K60*U15*0.001</f>
        <v>0</v>
      </c>
      <c r="M61" s="115">
        <f>M60*U15*0.001</f>
        <v>28.89943218627339</v>
      </c>
      <c r="O61" s="115">
        <f>O60*U15*0.001</f>
        <v>34.878625052398924</v>
      </c>
      <c r="Q61" s="115">
        <f>Q60*U15*0.001</f>
        <v>0</v>
      </c>
      <c r="S61" s="115">
        <f>S60*U15*0.001</f>
        <v>0</v>
      </c>
      <c r="U61" s="115">
        <f>U60*U15*0.001</f>
        <v>0</v>
      </c>
      <c r="W61" s="115">
        <f>W60*U15*0.001</f>
        <v>0</v>
      </c>
      <c r="Y61" s="115">
        <f>Y60*U15*0.001</f>
        <v>0</v>
      </c>
      <c r="AA61" s="115">
        <f>AA60*U15*0.001</f>
        <v>0</v>
      </c>
      <c r="AC61" s="115">
        <f>AC60*U15*0.001</f>
        <v>0</v>
      </c>
      <c r="AD61" s="115">
        <f>AD60*U15*0.001</f>
        <v>0</v>
      </c>
      <c r="AE61" s="403">
        <f>SUM(I61:AD61)</f>
        <v>63.778057238672318</v>
      </c>
      <c r="AG61" t="s">
        <v>1284</v>
      </c>
      <c r="AH61" t="s">
        <v>1285</v>
      </c>
    </row>
    <row r="62" spans="1:34" outlineLevel="1">
      <c r="A62">
        <v>450300</v>
      </c>
      <c r="B62" t="s">
        <v>992</v>
      </c>
      <c r="C62" t="s">
        <v>592</v>
      </c>
      <c r="D62" t="str">
        <f>VLOOKUP(C62,'Price Table 8 OHB'!A:B,2,FALSE)</f>
        <v>AOCS / GNC - HW procurements</v>
      </c>
      <c r="E62" t="s">
        <v>793</v>
      </c>
      <c r="AE62" s="403">
        <f>SUM(I62:AD62)</f>
        <v>0</v>
      </c>
    </row>
    <row r="63" spans="1:34" outlineLevel="1">
      <c r="A63">
        <v>450300</v>
      </c>
      <c r="B63" t="s">
        <v>992</v>
      </c>
      <c r="C63" t="s">
        <v>204</v>
      </c>
      <c r="D63" t="str">
        <f>VLOOKUP(C63,'Price Table 8 OHB'!A:B,2,FALSE)</f>
        <v>AOCS / GNC - Engineering and SW</v>
      </c>
      <c r="E63" t="s">
        <v>966</v>
      </c>
      <c r="AE63" s="403">
        <f>SUM(I63:AD63)</f>
        <v>0</v>
      </c>
      <c r="AG63" t="s">
        <v>1286</v>
      </c>
    </row>
    <row r="64" spans="1:34" outlineLevel="1">
      <c r="B64"/>
      <c r="E64" t="s">
        <v>993</v>
      </c>
      <c r="I64" s="115">
        <f t="shared" ref="I64:AD64" si="12">I61+I62+I63</f>
        <v>0</v>
      </c>
      <c r="K64" s="115">
        <f t="shared" si="12"/>
        <v>0</v>
      </c>
      <c r="M64" s="115">
        <f>M61+M62+M63</f>
        <v>28.89943218627339</v>
      </c>
      <c r="O64" s="115">
        <f t="shared" si="12"/>
        <v>34.878625052398924</v>
      </c>
      <c r="Q64" s="115">
        <f t="shared" si="12"/>
        <v>0</v>
      </c>
      <c r="S64" s="115">
        <f t="shared" si="12"/>
        <v>0</v>
      </c>
      <c r="U64" s="115">
        <f t="shared" si="12"/>
        <v>0</v>
      </c>
      <c r="W64" s="115">
        <f t="shared" si="12"/>
        <v>0</v>
      </c>
      <c r="Y64" s="115">
        <f t="shared" si="12"/>
        <v>0</v>
      </c>
      <c r="AA64" s="115">
        <f t="shared" si="12"/>
        <v>0</v>
      </c>
      <c r="AC64" s="115">
        <f t="shared" si="12"/>
        <v>0</v>
      </c>
      <c r="AD64" s="115">
        <f t="shared" si="12"/>
        <v>0</v>
      </c>
      <c r="AE64" s="403">
        <f>SUM(I64:AD64)</f>
        <v>63.778057238672318</v>
      </c>
      <c r="AH64" t="s">
        <v>1287</v>
      </c>
    </row>
    <row r="65" spans="1:34" outlineLevel="1">
      <c r="A65" s="109"/>
      <c r="B65" s="109"/>
      <c r="C65" s="109"/>
      <c r="D65" s="109"/>
      <c r="E65" s="109"/>
      <c r="F65" s="109"/>
      <c r="G65" s="109"/>
      <c r="H65" s="415"/>
      <c r="I65" s="415"/>
      <c r="J65" s="415"/>
      <c r="K65" s="415"/>
      <c r="L65" s="415"/>
      <c r="M65" s="415"/>
      <c r="N65" s="415"/>
      <c r="O65" s="415"/>
      <c r="P65" s="415"/>
      <c r="Q65" s="415"/>
      <c r="R65" s="415"/>
      <c r="S65" s="415"/>
      <c r="T65" s="415"/>
      <c r="U65" s="415"/>
      <c r="V65" s="415"/>
      <c r="W65" s="415"/>
      <c r="X65" s="415"/>
      <c r="Y65" s="415"/>
      <c r="Z65" s="415"/>
      <c r="AA65" s="415"/>
      <c r="AB65" s="415"/>
      <c r="AC65" s="415"/>
      <c r="AD65" s="415"/>
      <c r="AE65" s="409"/>
    </row>
    <row r="66" spans="1:34" outlineLevel="1">
      <c r="A66" s="108" t="s">
        <v>996</v>
      </c>
      <c r="B66" s="108"/>
      <c r="C66" s="108"/>
      <c r="D66" s="108"/>
      <c r="E66" s="108" t="s">
        <v>791</v>
      </c>
      <c r="F66" s="108"/>
      <c r="G66" s="108"/>
      <c r="H66" s="416"/>
      <c r="I66" s="416"/>
      <c r="J66" s="416"/>
      <c r="K66" s="416">
        <v>500</v>
      </c>
      <c r="L66" s="416"/>
      <c r="M66" s="416">
        <v>2670</v>
      </c>
      <c r="N66" s="416"/>
      <c r="O66" s="416"/>
      <c r="P66" s="416"/>
      <c r="Q66" s="416"/>
      <c r="R66" s="416"/>
      <c r="S66" s="416"/>
      <c r="T66" s="416"/>
      <c r="U66" s="416"/>
      <c r="V66" s="416"/>
      <c r="W66" s="416"/>
      <c r="X66" s="416"/>
      <c r="Y66" s="416"/>
      <c r="Z66" s="416"/>
      <c r="AA66" s="416"/>
      <c r="AB66" s="416"/>
      <c r="AC66" s="416"/>
      <c r="AD66" s="416"/>
      <c r="AE66" s="409"/>
      <c r="AG66" t="s">
        <v>1288</v>
      </c>
    </row>
    <row r="67" spans="1:34" outlineLevel="1">
      <c r="A67" s="108">
        <v>450400</v>
      </c>
      <c r="B67" s="108" t="s">
        <v>997</v>
      </c>
      <c r="C67" t="s">
        <v>204</v>
      </c>
      <c r="D67" t="str">
        <f>VLOOKUP(C67,'Price Table 8 OHB'!A:B,2,FALSE)</f>
        <v>AOCS / GNC - Engineering and SW</v>
      </c>
      <c r="E67" s="108" t="s">
        <v>998</v>
      </c>
      <c r="F67" s="108"/>
      <c r="G67" s="108"/>
      <c r="H67" s="416"/>
      <c r="I67" s="416">
        <f>I66*U15*0.001</f>
        <v>0</v>
      </c>
      <c r="J67" s="416"/>
      <c r="K67" s="416">
        <f>K66*U15*0.001</f>
        <v>49.826607217712741</v>
      </c>
      <c r="L67" s="416"/>
      <c r="M67" s="416">
        <f>M66*U15*0.001</f>
        <v>266.07408254258604</v>
      </c>
      <c r="N67" s="416"/>
      <c r="O67" s="416">
        <f>O66*U15*0.001</f>
        <v>0</v>
      </c>
      <c r="P67" s="416"/>
      <c r="Q67" s="416">
        <f>Q66*U15*0.001</f>
        <v>0</v>
      </c>
      <c r="R67" s="416"/>
      <c r="S67" s="416">
        <f>S66*U15*0.001</f>
        <v>0</v>
      </c>
      <c r="T67" s="416"/>
      <c r="U67" s="416">
        <f>U66*U15*0.001</f>
        <v>0</v>
      </c>
      <c r="V67" s="416"/>
      <c r="W67" s="416">
        <f>W66*U15*0.001</f>
        <v>0</v>
      </c>
      <c r="X67" s="416"/>
      <c r="Y67" s="416">
        <f>Y66*U15*0.001</f>
        <v>0</v>
      </c>
      <c r="Z67" s="416"/>
      <c r="AA67" s="416">
        <f>AA66*U15*0.001</f>
        <v>0</v>
      </c>
      <c r="AB67" s="416"/>
      <c r="AC67" s="416">
        <f>AC66*U15*0.001</f>
        <v>0</v>
      </c>
      <c r="AD67" s="416">
        <f>AD66*U15*0.001</f>
        <v>0</v>
      </c>
      <c r="AE67" s="403">
        <f>SUM(I67:AD67)</f>
        <v>315.9006897602988</v>
      </c>
      <c r="AH67" t="s">
        <v>1289</v>
      </c>
    </row>
    <row r="68" spans="1:34" outlineLevel="1">
      <c r="A68" s="108">
        <v>450400</v>
      </c>
      <c r="B68" s="108" t="s">
        <v>997</v>
      </c>
      <c r="C68" t="s">
        <v>592</v>
      </c>
      <c r="D68" t="str">
        <f>VLOOKUP(C68,'Price Table 8 OHB'!A:B,2,FALSE)</f>
        <v>AOCS / GNC - HW procurements</v>
      </c>
      <c r="E68" s="108" t="s">
        <v>793</v>
      </c>
      <c r="F68" s="108"/>
      <c r="G68" s="108"/>
      <c r="H68" s="416"/>
      <c r="I68" s="416"/>
      <c r="J68" s="416"/>
      <c r="K68" s="416"/>
      <c r="L68" s="416"/>
      <c r="M68" s="416"/>
      <c r="N68" s="416"/>
      <c r="O68" s="416"/>
      <c r="P68" s="416"/>
      <c r="Q68" s="416"/>
      <c r="R68" s="416"/>
      <c r="S68" s="416"/>
      <c r="T68" s="416"/>
      <c r="U68" s="416"/>
      <c r="V68" s="416"/>
      <c r="W68" s="416"/>
      <c r="X68" s="416"/>
      <c r="Y68" s="416"/>
      <c r="Z68" s="416"/>
      <c r="AA68" s="416"/>
      <c r="AB68" s="416"/>
      <c r="AC68" s="416"/>
      <c r="AD68" s="416"/>
      <c r="AE68" s="403">
        <f>SUM(I68:AD68)</f>
        <v>0</v>
      </c>
      <c r="AH68" t="s">
        <v>1290</v>
      </c>
    </row>
    <row r="69" spans="1:34" outlineLevel="1">
      <c r="A69" s="108">
        <v>450400</v>
      </c>
      <c r="B69" s="108" t="s">
        <v>997</v>
      </c>
      <c r="C69" t="s">
        <v>204</v>
      </c>
      <c r="D69" t="str">
        <f>VLOOKUP(C69,'Price Table 8 OHB'!A:B,2,FALSE)</f>
        <v>AOCS / GNC - Engineering and SW</v>
      </c>
      <c r="E69" s="108" t="s">
        <v>966</v>
      </c>
      <c r="F69" s="108"/>
      <c r="G69" s="108"/>
      <c r="H69" s="416"/>
      <c r="I69" s="416"/>
      <c r="J69" s="416"/>
      <c r="K69" s="416"/>
      <c r="L69" s="416"/>
      <c r="M69" s="416"/>
      <c r="N69" s="416"/>
      <c r="O69" s="416"/>
      <c r="P69" s="416"/>
      <c r="Q69" s="416"/>
      <c r="R69" s="416"/>
      <c r="S69" s="416"/>
      <c r="T69" s="416"/>
      <c r="U69" s="416"/>
      <c r="V69" s="416"/>
      <c r="W69" s="416"/>
      <c r="X69" s="416"/>
      <c r="Y69" s="416"/>
      <c r="Z69" s="416"/>
      <c r="AA69" s="416"/>
      <c r="AB69" s="416"/>
      <c r="AC69" s="416"/>
      <c r="AD69" s="416"/>
      <c r="AE69" s="403">
        <f>SUM(I69:AD69)</f>
        <v>0</v>
      </c>
    </row>
    <row r="70" spans="1:34" outlineLevel="1">
      <c r="A70" s="108"/>
      <c r="B70" s="108"/>
      <c r="C70" s="108"/>
      <c r="D70" s="108"/>
      <c r="E70" s="108" t="s">
        <v>794</v>
      </c>
      <c r="F70" s="108"/>
      <c r="G70" s="108"/>
      <c r="H70" s="416"/>
      <c r="I70" s="416">
        <f t="shared" ref="I70:AD70" si="13">I67+I68+I69</f>
        <v>0</v>
      </c>
      <c r="J70" s="416"/>
      <c r="K70" s="416">
        <f t="shared" si="13"/>
        <v>49.826607217712741</v>
      </c>
      <c r="L70" s="416"/>
      <c r="M70" s="416">
        <f>M67+M68+M69</f>
        <v>266.07408254258604</v>
      </c>
      <c r="N70" s="416"/>
      <c r="O70" s="416">
        <f t="shared" si="13"/>
        <v>0</v>
      </c>
      <c r="P70" s="416"/>
      <c r="Q70" s="416">
        <f t="shared" si="13"/>
        <v>0</v>
      </c>
      <c r="R70" s="416"/>
      <c r="S70" s="416">
        <f t="shared" si="13"/>
        <v>0</v>
      </c>
      <c r="T70" s="416"/>
      <c r="U70" s="416">
        <f t="shared" si="13"/>
        <v>0</v>
      </c>
      <c r="V70" s="416"/>
      <c r="W70" s="416">
        <f t="shared" si="13"/>
        <v>0</v>
      </c>
      <c r="X70" s="416"/>
      <c r="Y70" s="416">
        <f t="shared" si="13"/>
        <v>0</v>
      </c>
      <c r="Z70" s="416"/>
      <c r="AA70" s="416">
        <f t="shared" si="13"/>
        <v>0</v>
      </c>
      <c r="AB70" s="416"/>
      <c r="AC70" s="416">
        <f t="shared" si="13"/>
        <v>0</v>
      </c>
      <c r="AD70" s="416">
        <f t="shared" si="13"/>
        <v>0</v>
      </c>
      <c r="AE70" s="409">
        <f>SUM(I70:AD70)</f>
        <v>315.9006897602988</v>
      </c>
    </row>
    <row r="71" spans="1:34" outlineLevel="1">
      <c r="A71" s="90"/>
      <c r="B71" s="91"/>
      <c r="C71" s="90"/>
      <c r="D71" s="90"/>
      <c r="E71" s="90"/>
      <c r="F71" s="90"/>
      <c r="G71" s="90"/>
      <c r="H71" s="414"/>
      <c r="I71" s="414"/>
      <c r="J71" s="414"/>
      <c r="K71" s="414"/>
      <c r="L71" s="414"/>
      <c r="M71" s="414"/>
      <c r="N71" s="414"/>
      <c r="O71" s="414"/>
      <c r="P71" s="414"/>
      <c r="Q71" s="414"/>
      <c r="R71" s="414"/>
      <c r="S71" s="414"/>
      <c r="T71" s="414"/>
      <c r="U71" s="414"/>
      <c r="V71" s="414"/>
      <c r="W71" s="414"/>
      <c r="X71" s="414"/>
      <c r="Y71" s="414"/>
      <c r="Z71" s="414"/>
      <c r="AA71" s="414"/>
      <c r="AB71" s="414"/>
      <c r="AC71" s="414"/>
      <c r="AD71" s="414"/>
    </row>
    <row r="72" spans="1:34" outlineLevel="1">
      <c r="A72" t="s">
        <v>1001</v>
      </c>
      <c r="E72" t="s">
        <v>791</v>
      </c>
      <c r="M72" s="115">
        <v>640</v>
      </c>
    </row>
    <row r="73" spans="1:34" outlineLevel="1">
      <c r="A73">
        <v>450510</v>
      </c>
      <c r="B73" t="s">
        <v>1002</v>
      </c>
      <c r="C73" t="s">
        <v>204</v>
      </c>
      <c r="D73" t="str">
        <f>VLOOKUP(C73,'Price Table 8 OHB'!A:B,2,FALSE)</f>
        <v>AOCS / GNC - Engineering and SW</v>
      </c>
      <c r="E73" t="s">
        <v>792</v>
      </c>
      <c r="I73" s="115">
        <f>I72*U15*0.001</f>
        <v>0</v>
      </c>
      <c r="K73" s="115">
        <f>K72*U15*0.001</f>
        <v>0</v>
      </c>
      <c r="M73" s="115">
        <f>M72*U15*0.001</f>
        <v>63.778057238672311</v>
      </c>
      <c r="O73" s="115">
        <f>O72*U15*0.001</f>
        <v>0</v>
      </c>
      <c r="Q73" s="115">
        <f>Q72*U15*0.001</f>
        <v>0</v>
      </c>
      <c r="S73" s="115">
        <f>S72*U15*0.001</f>
        <v>0</v>
      </c>
      <c r="U73" s="115">
        <f>U72*U15*0.001</f>
        <v>0</v>
      </c>
      <c r="W73" s="115">
        <f>W72*U15*0.001</f>
        <v>0</v>
      </c>
      <c r="Y73" s="115">
        <f>Y72*U15*0.001</f>
        <v>0</v>
      </c>
      <c r="AA73" s="115">
        <f>AA72*U15*0.001</f>
        <v>0</v>
      </c>
      <c r="AC73" s="115">
        <f>AC72*U15*0.001</f>
        <v>0</v>
      </c>
      <c r="AD73" s="115">
        <f>AD72*U15*0.001</f>
        <v>0</v>
      </c>
      <c r="AE73" s="403">
        <f>SUM(I73:AD73)</f>
        <v>63.778057238672311</v>
      </c>
    </row>
    <row r="74" spans="1:34" outlineLevel="1">
      <c r="A74">
        <v>450510</v>
      </c>
      <c r="B74" t="s">
        <v>1002</v>
      </c>
      <c r="C74" t="s">
        <v>592</v>
      </c>
      <c r="D74" t="str">
        <f>VLOOKUP(C74,'Price Table 8 OHB'!A:B,2,FALSE)</f>
        <v>AOCS / GNC - HW procurements</v>
      </c>
      <c r="E74" t="s">
        <v>793</v>
      </c>
      <c r="AE74" s="403">
        <f>SUM(I74:AD74)</f>
        <v>0</v>
      </c>
    </row>
    <row r="75" spans="1:34" outlineLevel="1">
      <c r="A75">
        <v>450510</v>
      </c>
      <c r="B75" t="s">
        <v>1002</v>
      </c>
      <c r="C75" t="s">
        <v>204</v>
      </c>
      <c r="D75" t="str">
        <f>VLOOKUP(C75,'Price Table 8 OHB'!A:B,2,FALSE)</f>
        <v>AOCS / GNC - Engineering and SW</v>
      </c>
      <c r="E75" t="s">
        <v>966</v>
      </c>
      <c r="AE75" s="403">
        <f>SUM(I75:AD75)</f>
        <v>0</v>
      </c>
    </row>
    <row r="76" spans="1:34" outlineLevel="1">
      <c r="E76" t="s">
        <v>794</v>
      </c>
      <c r="H76" s="118"/>
      <c r="I76" s="115">
        <f t="shared" ref="I76:AD76" si="14">I73+I74+I75</f>
        <v>0</v>
      </c>
      <c r="K76" s="115">
        <f t="shared" si="14"/>
        <v>0</v>
      </c>
      <c r="M76" s="115">
        <f>M73+M74+M75</f>
        <v>63.778057238672311</v>
      </c>
      <c r="O76" s="115">
        <f t="shared" si="14"/>
        <v>0</v>
      </c>
      <c r="Q76" s="115">
        <f t="shared" si="14"/>
        <v>0</v>
      </c>
      <c r="S76" s="115">
        <f t="shared" si="14"/>
        <v>0</v>
      </c>
      <c r="U76" s="115">
        <f t="shared" si="14"/>
        <v>0</v>
      </c>
      <c r="W76" s="115">
        <f t="shared" si="14"/>
        <v>0</v>
      </c>
      <c r="Y76" s="115">
        <f t="shared" si="14"/>
        <v>0</v>
      </c>
      <c r="AA76" s="115">
        <f t="shared" si="14"/>
        <v>0</v>
      </c>
      <c r="AC76" s="115">
        <f t="shared" si="14"/>
        <v>0</v>
      </c>
      <c r="AD76" s="115">
        <f t="shared" si="14"/>
        <v>0</v>
      </c>
      <c r="AE76" s="403">
        <f>SUM(I76:AD76)</f>
        <v>63.778057238672311</v>
      </c>
    </row>
    <row r="77" spans="1:34" outlineLevel="1">
      <c r="A77" s="90"/>
      <c r="B77" s="91"/>
      <c r="C77" s="90"/>
      <c r="D77" s="90"/>
      <c r="E77" s="90"/>
      <c r="F77" s="90"/>
      <c r="G77" s="90"/>
      <c r="H77" s="414"/>
      <c r="I77" s="414"/>
      <c r="J77" s="414"/>
      <c r="K77" s="414"/>
      <c r="L77" s="414"/>
      <c r="M77" s="414"/>
      <c r="N77" s="414"/>
      <c r="O77" s="414"/>
      <c r="P77" s="414"/>
      <c r="Q77" s="414"/>
      <c r="R77" s="414"/>
      <c r="S77" s="414"/>
      <c r="T77" s="414"/>
      <c r="U77" s="414"/>
      <c r="V77" s="414"/>
      <c r="W77" s="414"/>
      <c r="X77" s="414"/>
      <c r="Y77" s="414"/>
      <c r="Z77" s="414"/>
      <c r="AA77" s="414"/>
      <c r="AB77" s="414"/>
      <c r="AC77" s="414"/>
      <c r="AD77" s="414"/>
    </row>
    <row r="78" spans="1:34" outlineLevel="1">
      <c r="A78" t="s">
        <v>1005</v>
      </c>
      <c r="E78" t="s">
        <v>791</v>
      </c>
      <c r="M78" s="115">
        <v>345</v>
      </c>
      <c r="O78" s="115">
        <v>1671</v>
      </c>
      <c r="Q78" s="115">
        <v>1475</v>
      </c>
      <c r="S78" s="115">
        <v>500</v>
      </c>
    </row>
    <row r="79" spans="1:34" outlineLevel="1">
      <c r="A79">
        <v>450520</v>
      </c>
      <c r="B79" t="s">
        <v>1006</v>
      </c>
      <c r="C79" t="s">
        <v>204</v>
      </c>
      <c r="D79" t="str">
        <f>VLOOKUP(C79,'Price Table 8 OHB'!A:B,2,FALSE)</f>
        <v>AOCS / GNC - Engineering and SW</v>
      </c>
      <c r="E79" t="s">
        <v>792</v>
      </c>
      <c r="I79" s="115">
        <f>I78*U15*0.001</f>
        <v>0</v>
      </c>
      <c r="K79" s="115">
        <f>K78*U15*0.001</f>
        <v>0</v>
      </c>
      <c r="M79" s="115">
        <f>M78*U15*0.001</f>
        <v>34.380358980221793</v>
      </c>
      <c r="O79" s="115">
        <f>O78*U15*0.001</f>
        <v>166.52052132159599</v>
      </c>
      <c r="Q79" s="115">
        <f>Q78*U15*0.001</f>
        <v>146.98849129225258</v>
      </c>
      <c r="S79" s="115">
        <f>S78*U15*0.001</f>
        <v>49.826607217712741</v>
      </c>
      <c r="U79" s="115">
        <f>U78*U15*0.001</f>
        <v>0</v>
      </c>
      <c r="W79" s="115">
        <f>W78*U15*0.001</f>
        <v>0</v>
      </c>
      <c r="Y79" s="115">
        <f>Y78*U15*0.001</f>
        <v>0</v>
      </c>
      <c r="AA79" s="115">
        <f>AA78*U15*0.001</f>
        <v>0</v>
      </c>
      <c r="AC79" s="115">
        <f>AC78*U15*0.001</f>
        <v>0</v>
      </c>
      <c r="AD79" s="115">
        <f>AD78*U15*0.001</f>
        <v>0</v>
      </c>
      <c r="AE79" s="403">
        <f>SUM(I79:AD79)</f>
        <v>397.71597881178309</v>
      </c>
    </row>
    <row r="80" spans="1:34" outlineLevel="1">
      <c r="A80">
        <v>450520</v>
      </c>
      <c r="B80" t="s">
        <v>1006</v>
      </c>
      <c r="C80" t="s">
        <v>592</v>
      </c>
      <c r="D80" t="str">
        <f>VLOOKUP(C80,'Price Table 8 OHB'!A:B,2,FALSE)</f>
        <v>AOCS / GNC - HW procurements</v>
      </c>
      <c r="E80" t="s">
        <v>793</v>
      </c>
      <c r="AE80" s="403">
        <f>SUM(I80:AD80)</f>
        <v>0</v>
      </c>
    </row>
    <row r="81" spans="1:32" outlineLevel="1">
      <c r="A81">
        <v>450520</v>
      </c>
      <c r="B81" t="s">
        <v>1006</v>
      </c>
      <c r="C81" t="s">
        <v>204</v>
      </c>
      <c r="D81" t="str">
        <f>VLOOKUP(C81,'Price Table 8 OHB'!A:B,2,FALSE)</f>
        <v>AOCS / GNC - Engineering and SW</v>
      </c>
      <c r="E81" t="s">
        <v>966</v>
      </c>
      <c r="AE81" s="403">
        <f>SUM(I81:AD81)</f>
        <v>0</v>
      </c>
    </row>
    <row r="82" spans="1:32" outlineLevel="1">
      <c r="E82" t="s">
        <v>794</v>
      </c>
      <c r="H82" s="118"/>
      <c r="I82" s="115">
        <f t="shared" ref="I82:AD82" si="15">I79+I80+I81</f>
        <v>0</v>
      </c>
      <c r="K82" s="115">
        <f t="shared" si="15"/>
        <v>0</v>
      </c>
      <c r="M82" s="115">
        <f>M79+M80+M81</f>
        <v>34.380358980221793</v>
      </c>
      <c r="O82" s="115">
        <f t="shared" si="15"/>
        <v>166.52052132159599</v>
      </c>
      <c r="Q82" s="115">
        <f t="shared" si="15"/>
        <v>146.98849129225258</v>
      </c>
      <c r="S82" s="115">
        <f t="shared" si="15"/>
        <v>49.826607217712741</v>
      </c>
      <c r="U82" s="115">
        <f t="shared" si="15"/>
        <v>0</v>
      </c>
      <c r="W82" s="115">
        <f t="shared" si="15"/>
        <v>0</v>
      </c>
      <c r="Y82" s="115">
        <f t="shared" si="15"/>
        <v>0</v>
      </c>
      <c r="AA82" s="115">
        <f t="shared" si="15"/>
        <v>0</v>
      </c>
      <c r="AC82" s="115">
        <f t="shared" si="15"/>
        <v>0</v>
      </c>
      <c r="AD82" s="115">
        <f t="shared" si="15"/>
        <v>0</v>
      </c>
      <c r="AE82" s="403">
        <f>SUM(I82:AD82)</f>
        <v>397.71597881178309</v>
      </c>
    </row>
    <row r="83" spans="1:32" outlineLevel="1">
      <c r="A83" s="90"/>
      <c r="B83" s="91"/>
      <c r="C83" s="90"/>
      <c r="D83" s="90"/>
      <c r="E83" s="90"/>
      <c r="F83" s="90"/>
      <c r="G83" s="90"/>
      <c r="H83" s="414"/>
      <c r="I83" s="414"/>
      <c r="J83" s="414"/>
      <c r="K83" s="414"/>
      <c r="L83" s="414"/>
      <c r="M83" s="414"/>
      <c r="N83" s="414"/>
      <c r="O83" s="414"/>
      <c r="P83" s="414"/>
      <c r="Q83" s="414"/>
      <c r="R83" s="414"/>
      <c r="S83" s="414"/>
      <c r="T83" s="414"/>
      <c r="U83" s="414"/>
      <c r="V83" s="414"/>
      <c r="W83" s="414"/>
      <c r="X83" s="414"/>
      <c r="Y83" s="414"/>
      <c r="Z83" s="414"/>
      <c r="AA83" s="414"/>
      <c r="AB83" s="414"/>
      <c r="AC83" s="414"/>
      <c r="AD83" s="414"/>
    </row>
    <row r="84" spans="1:32" outlineLevel="1">
      <c r="A84" t="s">
        <v>1010</v>
      </c>
      <c r="E84" t="s">
        <v>791</v>
      </c>
      <c r="S84" s="115">
        <v>1548</v>
      </c>
      <c r="U84" s="115">
        <v>640</v>
      </c>
    </row>
    <row r="85" spans="1:32" outlineLevel="1">
      <c r="A85">
        <v>450530</v>
      </c>
      <c r="B85" t="s">
        <v>1011</v>
      </c>
      <c r="C85" t="s">
        <v>204</v>
      </c>
      <c r="D85" t="str">
        <f>VLOOKUP(C85,'Price Table 8 OHB'!A:B,2,FALSE)</f>
        <v>AOCS / GNC - Engineering and SW</v>
      </c>
      <c r="E85" t="s">
        <v>792</v>
      </c>
      <c r="I85" s="115">
        <f>I84*U15*0.001</f>
        <v>0</v>
      </c>
      <c r="K85" s="115">
        <f>K84*U15*0.001</f>
        <v>0</v>
      </c>
      <c r="M85" s="115">
        <f>M84*0.001*0.001</f>
        <v>0</v>
      </c>
      <c r="O85" s="115">
        <f>O84*U15*0.001</f>
        <v>0</v>
      </c>
      <c r="Q85" s="115">
        <f>Q84*U15*0.001</f>
        <v>0</v>
      </c>
      <c r="S85" s="115">
        <f>S84*U15*0.001</f>
        <v>154.26317594603864</v>
      </c>
      <c r="U85" s="115">
        <f>U84*U15*0.001</f>
        <v>63.778057238672311</v>
      </c>
      <c r="W85" s="115">
        <f>W84*U15*0.001</f>
        <v>0</v>
      </c>
      <c r="Y85" s="115">
        <f>Y84*U15*0.001</f>
        <v>0</v>
      </c>
      <c r="AA85" s="115">
        <f>AA84*U15*0.001</f>
        <v>0</v>
      </c>
      <c r="AC85" s="115">
        <f>AC84*U15*0.001</f>
        <v>0</v>
      </c>
      <c r="AD85" s="115">
        <f>AD84*U15*0.001</f>
        <v>0</v>
      </c>
      <c r="AE85" s="403">
        <f>SUM(I85:AD85)</f>
        <v>218.04123318471096</v>
      </c>
    </row>
    <row r="86" spans="1:32" outlineLevel="1">
      <c r="A86">
        <v>450530</v>
      </c>
      <c r="B86" t="s">
        <v>1011</v>
      </c>
      <c r="C86" t="s">
        <v>592</v>
      </c>
      <c r="D86" t="str">
        <f>VLOOKUP(C86,'Price Table 8 OHB'!A:B,2,FALSE)</f>
        <v>AOCS / GNC - HW procurements</v>
      </c>
      <c r="E86" t="s">
        <v>793</v>
      </c>
      <c r="AE86" s="403">
        <f>SUM(I86:AD86)</f>
        <v>0</v>
      </c>
    </row>
    <row r="87" spans="1:32" outlineLevel="1">
      <c r="A87">
        <v>450530</v>
      </c>
      <c r="B87" t="s">
        <v>1011</v>
      </c>
      <c r="C87" t="s">
        <v>204</v>
      </c>
      <c r="D87" t="str">
        <f>VLOOKUP(C87,'Price Table 8 OHB'!A:B,2,FALSE)</f>
        <v>AOCS / GNC - Engineering and SW</v>
      </c>
      <c r="E87" t="s">
        <v>966</v>
      </c>
      <c r="AE87" s="403">
        <f>SUM(I87:AD87)</f>
        <v>0</v>
      </c>
    </row>
    <row r="88" spans="1:32" outlineLevel="1">
      <c r="E88" t="s">
        <v>794</v>
      </c>
      <c r="H88" s="118"/>
      <c r="I88" s="115">
        <f t="shared" ref="I88:AD88" si="16">I85+I86+I87</f>
        <v>0</v>
      </c>
      <c r="K88" s="115">
        <f t="shared" si="16"/>
        <v>0</v>
      </c>
      <c r="M88" s="115">
        <f>M85+M86+M87</f>
        <v>0</v>
      </c>
      <c r="O88" s="115">
        <f t="shared" si="16"/>
        <v>0</v>
      </c>
      <c r="Q88" s="115">
        <f t="shared" si="16"/>
        <v>0</v>
      </c>
      <c r="S88" s="115">
        <f t="shared" si="16"/>
        <v>154.26317594603864</v>
      </c>
      <c r="U88" s="115">
        <f t="shared" si="16"/>
        <v>63.778057238672311</v>
      </c>
      <c r="W88" s="115">
        <f t="shared" si="16"/>
        <v>0</v>
      </c>
      <c r="Y88" s="115">
        <f t="shared" si="16"/>
        <v>0</v>
      </c>
      <c r="AA88" s="115">
        <f t="shared" si="16"/>
        <v>0</v>
      </c>
      <c r="AC88" s="115">
        <f t="shared" si="16"/>
        <v>0</v>
      </c>
      <c r="AD88" s="115">
        <f t="shared" si="16"/>
        <v>0</v>
      </c>
      <c r="AE88" s="403">
        <f>SUM(I88:AD88)</f>
        <v>218.04123318471096</v>
      </c>
    </row>
    <row r="89" spans="1:32" s="16" customFormat="1" outlineLevel="1">
      <c r="A89" s="110"/>
      <c r="B89" s="111"/>
      <c r="C89" s="110"/>
      <c r="D89" s="110"/>
      <c r="E89" s="110"/>
      <c r="F89" s="110"/>
      <c r="G89" s="110"/>
      <c r="H89" s="417"/>
      <c r="I89" s="417"/>
      <c r="J89" s="417"/>
      <c r="K89" s="417"/>
      <c r="L89" s="417"/>
      <c r="M89" s="417"/>
      <c r="N89" s="417"/>
      <c r="O89" s="417"/>
      <c r="P89" s="417"/>
      <c r="Q89" s="417"/>
      <c r="R89" s="417"/>
      <c r="S89" s="417"/>
      <c r="T89" s="417"/>
      <c r="U89" s="417"/>
      <c r="V89" s="417"/>
      <c r="W89" s="417"/>
      <c r="X89" s="417"/>
      <c r="Y89" s="417"/>
      <c r="Z89" s="417"/>
      <c r="AA89" s="417"/>
      <c r="AB89" s="417"/>
      <c r="AC89" s="417"/>
      <c r="AD89" s="417"/>
      <c r="AE89" s="402"/>
      <c r="AF89" s="390"/>
    </row>
    <row r="90" spans="1:32" outlineLevel="1">
      <c r="A90" t="s">
        <v>1014</v>
      </c>
      <c r="E90" t="s">
        <v>791</v>
      </c>
      <c r="K90" s="115">
        <v>2140</v>
      </c>
      <c r="M90" s="115">
        <v>2140</v>
      </c>
      <c r="O90" s="115">
        <v>500</v>
      </c>
    </row>
    <row r="91" spans="1:32" outlineLevel="1">
      <c r="A91">
        <v>450610</v>
      </c>
      <c r="B91" t="s">
        <v>1015</v>
      </c>
      <c r="C91" t="s">
        <v>204</v>
      </c>
      <c r="D91" t="str">
        <f>VLOOKUP(C91,'Price Table 8 OHB'!A:B,2,FALSE)</f>
        <v>AOCS / GNC - Engineering and SW</v>
      </c>
      <c r="E91" t="s">
        <v>792</v>
      </c>
      <c r="I91" s="115">
        <f>I90*U15*0.001</f>
        <v>0</v>
      </c>
      <c r="K91" s="115">
        <f>K90*U15*0.001</f>
        <v>213.25787889181055</v>
      </c>
      <c r="M91" s="115">
        <f>M90*U15*0.001</f>
        <v>213.25787889181055</v>
      </c>
      <c r="O91" s="115">
        <f>O90*U15*0.001</f>
        <v>49.826607217712741</v>
      </c>
      <c r="Q91" s="115">
        <f>Q90*U15*0.001</f>
        <v>0</v>
      </c>
      <c r="S91" s="115">
        <f>S90*U15*0.001</f>
        <v>0</v>
      </c>
      <c r="U91" s="115">
        <f>U90*U15*0.001</f>
        <v>0</v>
      </c>
      <c r="W91" s="115">
        <f>W90*U15*0.001</f>
        <v>0</v>
      </c>
      <c r="Y91" s="115">
        <f>Y90*U15*0.001</f>
        <v>0</v>
      </c>
      <c r="AA91" s="115">
        <f>AA90*U15*0.001</f>
        <v>0</v>
      </c>
      <c r="AC91" s="115">
        <f>AC90*U15*0.001</f>
        <v>0</v>
      </c>
      <c r="AD91" s="115">
        <f>AD90*U15*0.001</f>
        <v>0</v>
      </c>
      <c r="AE91" s="403">
        <f>SUM(I91:AD91)</f>
        <v>476.34236500133386</v>
      </c>
    </row>
    <row r="92" spans="1:32" outlineLevel="1">
      <c r="A92">
        <v>450610</v>
      </c>
      <c r="B92" t="s">
        <v>1015</v>
      </c>
      <c r="C92" t="s">
        <v>592</v>
      </c>
      <c r="D92" t="str">
        <f>VLOOKUP(C92,'Price Table 8 OHB'!A:B,2,FALSE)</f>
        <v>AOCS / GNC - HW procurements</v>
      </c>
      <c r="E92" t="s">
        <v>793</v>
      </c>
      <c r="AE92" s="403">
        <f>SUM(I92:AD92)</f>
        <v>0</v>
      </c>
    </row>
    <row r="93" spans="1:32" outlineLevel="1">
      <c r="A93">
        <v>450610</v>
      </c>
      <c r="B93" t="s">
        <v>1015</v>
      </c>
      <c r="C93" t="s">
        <v>204</v>
      </c>
      <c r="D93" t="str">
        <f>VLOOKUP(C93,'Price Table 8 OHB'!A:B,2,FALSE)</f>
        <v>AOCS / GNC - Engineering and SW</v>
      </c>
      <c r="E93" t="s">
        <v>966</v>
      </c>
      <c r="AE93" s="403">
        <f>SUM(I93:AD93)</f>
        <v>0</v>
      </c>
    </row>
    <row r="94" spans="1:32" outlineLevel="1">
      <c r="E94" t="s">
        <v>794</v>
      </c>
      <c r="H94" s="118"/>
      <c r="I94" s="115">
        <f t="shared" ref="I94:AD94" si="17">I91+I92+I93</f>
        <v>0</v>
      </c>
      <c r="K94" s="115">
        <f t="shared" si="17"/>
        <v>213.25787889181055</v>
      </c>
      <c r="M94" s="115">
        <f>M91+M92+M93</f>
        <v>213.25787889181055</v>
      </c>
      <c r="O94" s="115">
        <f t="shared" si="17"/>
        <v>49.826607217712741</v>
      </c>
      <c r="Q94" s="115">
        <f t="shared" si="17"/>
        <v>0</v>
      </c>
      <c r="S94" s="115">
        <f t="shared" si="17"/>
        <v>0</v>
      </c>
      <c r="U94" s="115">
        <f t="shared" si="17"/>
        <v>0</v>
      </c>
      <c r="W94" s="115">
        <f t="shared" si="17"/>
        <v>0</v>
      </c>
      <c r="Y94" s="115">
        <f t="shared" si="17"/>
        <v>0</v>
      </c>
      <c r="AA94" s="115">
        <f t="shared" si="17"/>
        <v>0</v>
      </c>
      <c r="AC94" s="115">
        <f t="shared" si="17"/>
        <v>0</v>
      </c>
      <c r="AD94" s="115">
        <f t="shared" si="17"/>
        <v>0</v>
      </c>
      <c r="AE94" s="403">
        <f>SUM(I94:AD94)</f>
        <v>476.34236500133386</v>
      </c>
    </row>
    <row r="95" spans="1:32" outlineLevel="1">
      <c r="A95" s="90"/>
      <c r="B95" s="91"/>
      <c r="C95" s="90"/>
      <c r="D95" s="90"/>
      <c r="E95" s="90"/>
      <c r="F95" s="90"/>
      <c r="G95" s="90"/>
      <c r="H95" s="414"/>
      <c r="I95" s="414"/>
      <c r="J95" s="414"/>
      <c r="K95" s="414"/>
      <c r="L95" s="414"/>
      <c r="M95" s="414"/>
      <c r="N95" s="414"/>
      <c r="O95" s="414"/>
      <c r="P95" s="414"/>
      <c r="Q95" s="414"/>
      <c r="R95" s="414"/>
      <c r="S95" s="414"/>
      <c r="T95" s="414"/>
      <c r="U95" s="414"/>
      <c r="V95" s="414"/>
      <c r="W95" s="414"/>
      <c r="X95" s="414"/>
      <c r="Y95" s="414"/>
      <c r="Z95" s="414"/>
      <c r="AA95" s="414"/>
      <c r="AB95" s="414"/>
      <c r="AC95" s="414"/>
      <c r="AD95" s="414"/>
    </row>
    <row r="96" spans="1:32" outlineLevel="1">
      <c r="A96" t="s">
        <v>1017</v>
      </c>
      <c r="E96" t="s">
        <v>791</v>
      </c>
      <c r="K96" s="115">
        <v>300</v>
      </c>
      <c r="M96" s="115">
        <v>600</v>
      </c>
      <c r="O96" s="115">
        <v>600</v>
      </c>
      <c r="Q96" s="115">
        <v>444</v>
      </c>
    </row>
    <row r="97" spans="1:31" outlineLevel="1">
      <c r="A97">
        <v>450620</v>
      </c>
      <c r="B97" t="s">
        <v>1018</v>
      </c>
      <c r="C97" t="s">
        <v>204</v>
      </c>
      <c r="D97" t="str">
        <f>VLOOKUP(C97,'Price Table 8 OHB'!A:B,2,FALSE)</f>
        <v>AOCS / GNC - Engineering and SW</v>
      </c>
      <c r="E97" t="s">
        <v>792</v>
      </c>
      <c r="I97" s="115">
        <f>I96*U15*0.001</f>
        <v>0</v>
      </c>
      <c r="K97" s="115">
        <f>K96*U15*0.001</f>
        <v>29.895964330627645</v>
      </c>
      <c r="M97" s="115">
        <f>M96*U15*0.001</f>
        <v>59.791928661255291</v>
      </c>
      <c r="O97" s="115">
        <f>O96*U15*0.001</f>
        <v>59.791928661255291</v>
      </c>
      <c r="Q97" s="115">
        <f>Q96*U15*0.001</f>
        <v>44.246027209328915</v>
      </c>
      <c r="S97" s="115">
        <f>S96*U15*0.001</f>
        <v>0</v>
      </c>
      <c r="U97" s="115">
        <f>U96*U15*0.001</f>
        <v>0</v>
      </c>
      <c r="W97" s="115">
        <f>W96*U15*0.001</f>
        <v>0</v>
      </c>
      <c r="Y97" s="115">
        <f>Y96*U15*0.001</f>
        <v>0</v>
      </c>
      <c r="AA97" s="115">
        <f>AA96*U15*0.001</f>
        <v>0</v>
      </c>
      <c r="AC97" s="115">
        <f>AC96*U15*0.001</f>
        <v>0</v>
      </c>
      <c r="AD97" s="115">
        <f>AD96*U15*0.001</f>
        <v>0</v>
      </c>
      <c r="AE97" s="403">
        <f t="shared" ref="AE97:AE99" si="18">SUM(I97:AD97)</f>
        <v>193.72584886246716</v>
      </c>
    </row>
    <row r="98" spans="1:31" outlineLevel="1">
      <c r="B98" t="s">
        <v>1018</v>
      </c>
      <c r="C98" t="s">
        <v>592</v>
      </c>
      <c r="D98" t="str">
        <f>VLOOKUP(C98,'Price Table 8 OHB'!A:B,2,FALSE)</f>
        <v>AOCS / GNC - HW procurements</v>
      </c>
      <c r="E98" t="s">
        <v>793</v>
      </c>
      <c r="AE98" s="403">
        <f t="shared" si="18"/>
        <v>0</v>
      </c>
    </row>
    <row r="99" spans="1:31" outlineLevel="1">
      <c r="B99" t="s">
        <v>1018</v>
      </c>
      <c r="C99" t="s">
        <v>204</v>
      </c>
      <c r="D99" t="str">
        <f>VLOOKUP(C99,'Price Table 8 OHB'!A:B,2,FALSE)</f>
        <v>AOCS / GNC - Engineering and SW</v>
      </c>
      <c r="E99" t="s">
        <v>966</v>
      </c>
      <c r="AE99" s="403">
        <f t="shared" si="18"/>
        <v>0</v>
      </c>
    </row>
    <row r="100" spans="1:31" outlineLevel="1">
      <c r="E100" t="s">
        <v>794</v>
      </c>
      <c r="H100" s="118"/>
      <c r="I100" s="115">
        <f>I97+I98+I99</f>
        <v>0</v>
      </c>
      <c r="K100" s="115">
        <f>K97+L98+L99</f>
        <v>29.895964330627645</v>
      </c>
      <c r="M100" s="115">
        <f>M97+M98+M99</f>
        <v>59.791928661255291</v>
      </c>
      <c r="O100" s="115">
        <f>O97+O98+O99</f>
        <v>59.791928661255291</v>
      </c>
      <c r="Q100" s="115">
        <f>Q97+Q98+Q99</f>
        <v>44.246027209328915</v>
      </c>
      <c r="S100" s="115">
        <f t="shared" ref="S100:AD100" si="19">S97+S98+S99</f>
        <v>0</v>
      </c>
      <c r="U100" s="115">
        <f t="shared" si="19"/>
        <v>0</v>
      </c>
      <c r="W100" s="115">
        <f t="shared" si="19"/>
        <v>0</v>
      </c>
      <c r="Y100" s="115">
        <f t="shared" si="19"/>
        <v>0</v>
      </c>
      <c r="AA100" s="115">
        <f t="shared" si="19"/>
        <v>0</v>
      </c>
      <c r="AC100" s="115">
        <f t="shared" si="19"/>
        <v>0</v>
      </c>
      <c r="AD100" s="115">
        <f t="shared" si="19"/>
        <v>0</v>
      </c>
      <c r="AE100" s="403">
        <f>SUM(I100:AD100)</f>
        <v>193.72584886246716</v>
      </c>
    </row>
    <row r="101" spans="1:31" outlineLevel="1">
      <c r="A101" s="90"/>
      <c r="B101" s="91"/>
      <c r="C101" s="90"/>
      <c r="D101" s="90"/>
      <c r="E101" s="90"/>
      <c r="F101" s="90"/>
      <c r="G101" s="90"/>
      <c r="H101" s="414"/>
      <c r="I101" s="414"/>
      <c r="J101" s="414"/>
      <c r="K101" s="414"/>
      <c r="L101" s="414"/>
      <c r="M101" s="414"/>
      <c r="N101" s="414"/>
      <c r="O101" s="414"/>
      <c r="P101" s="414"/>
      <c r="Q101" s="414"/>
      <c r="R101" s="414"/>
      <c r="S101" s="414"/>
      <c r="T101" s="414"/>
      <c r="U101" s="414"/>
      <c r="V101" s="414"/>
      <c r="W101" s="414"/>
      <c r="X101" s="414"/>
      <c r="Y101" s="414"/>
      <c r="Z101" s="414"/>
      <c r="AA101" s="414"/>
      <c r="AB101" s="414"/>
      <c r="AC101" s="414"/>
      <c r="AD101" s="414"/>
    </row>
    <row r="102" spans="1:31" outlineLevel="1">
      <c r="A102" t="s">
        <v>1021</v>
      </c>
      <c r="E102" t="s">
        <v>791</v>
      </c>
      <c r="K102" s="115">
        <v>500</v>
      </c>
      <c r="M102" s="115">
        <v>600</v>
      </c>
      <c r="O102" s="115">
        <v>100</v>
      </c>
      <c r="Q102" s="115">
        <v>0</v>
      </c>
    </row>
    <row r="103" spans="1:31" outlineLevel="1">
      <c r="A103">
        <v>450630</v>
      </c>
      <c r="B103" t="s">
        <v>1022</v>
      </c>
      <c r="C103" t="s">
        <v>204</v>
      </c>
      <c r="D103" t="str">
        <f>VLOOKUP(C103,'Price Table 8 OHB'!A:B,2,FALSE)</f>
        <v>AOCS / GNC - Engineering and SW</v>
      </c>
      <c r="E103" t="s">
        <v>792</v>
      </c>
      <c r="I103" s="115">
        <f>I102*U15*0.001</f>
        <v>0</v>
      </c>
      <c r="K103" s="115">
        <f>K102*U15*0.001</f>
        <v>49.826607217712741</v>
      </c>
      <c r="M103" s="115">
        <f>M102*U15*0.001</f>
        <v>59.791928661255291</v>
      </c>
      <c r="O103" s="115">
        <f>O102*U15*0.001</f>
        <v>9.9653214435425497</v>
      </c>
      <c r="Q103" s="115">
        <f>Q102*U15*0.001</f>
        <v>0</v>
      </c>
      <c r="S103" s="115">
        <f>S102*U15*0.001</f>
        <v>0</v>
      </c>
      <c r="U103" s="115">
        <f>U102*U15*0.001</f>
        <v>0</v>
      </c>
      <c r="W103" s="115">
        <f>W102*U15*0.001</f>
        <v>0</v>
      </c>
      <c r="Y103" s="115">
        <f>Y102*U15*0.001</f>
        <v>0</v>
      </c>
      <c r="AA103" s="115">
        <f>AA102*U15*0.001</f>
        <v>0</v>
      </c>
      <c r="AC103" s="115">
        <f>AC102*U15*0.001</f>
        <v>0</v>
      </c>
      <c r="AD103" s="115">
        <f>AD102*U15*0.001</f>
        <v>0</v>
      </c>
      <c r="AE103" s="403">
        <f t="shared" ref="AE103:AE105" si="20">SUM(I103:AD103)</f>
        <v>119.58385732251058</v>
      </c>
    </row>
    <row r="104" spans="1:31" outlineLevel="1">
      <c r="A104">
        <v>450630</v>
      </c>
      <c r="B104" t="s">
        <v>1022</v>
      </c>
      <c r="C104" t="s">
        <v>592</v>
      </c>
      <c r="D104" t="str">
        <f>VLOOKUP(C104,'Price Table 8 OHB'!A:B,2,FALSE)</f>
        <v>AOCS / GNC - HW procurements</v>
      </c>
      <c r="E104" t="s">
        <v>793</v>
      </c>
      <c r="AE104" s="403">
        <f t="shared" si="20"/>
        <v>0</v>
      </c>
    </row>
    <row r="105" spans="1:31" outlineLevel="1">
      <c r="A105">
        <v>450630</v>
      </c>
      <c r="B105" t="s">
        <v>1022</v>
      </c>
      <c r="C105" t="s">
        <v>204</v>
      </c>
      <c r="D105" t="str">
        <f>VLOOKUP(C105,'Price Table 8 OHB'!A:B,2,FALSE)</f>
        <v>AOCS / GNC - Engineering and SW</v>
      </c>
      <c r="E105" t="s">
        <v>966</v>
      </c>
      <c r="AE105" s="403">
        <f t="shared" si="20"/>
        <v>0</v>
      </c>
    </row>
    <row r="106" spans="1:31" outlineLevel="1">
      <c r="E106" t="s">
        <v>794</v>
      </c>
      <c r="H106" s="118"/>
      <c r="I106" s="115">
        <f t="shared" ref="I106:AD106" si="21">I103+I104+I105</f>
        <v>0</v>
      </c>
      <c r="K106" s="115">
        <f t="shared" si="21"/>
        <v>49.826607217712741</v>
      </c>
      <c r="M106" s="115">
        <f>M103+M104+M105</f>
        <v>59.791928661255291</v>
      </c>
      <c r="O106" s="115">
        <f t="shared" si="21"/>
        <v>9.9653214435425497</v>
      </c>
      <c r="Q106" s="115">
        <f t="shared" si="21"/>
        <v>0</v>
      </c>
      <c r="S106" s="115">
        <f t="shared" si="21"/>
        <v>0</v>
      </c>
      <c r="U106" s="115">
        <f t="shared" si="21"/>
        <v>0</v>
      </c>
      <c r="W106" s="115">
        <f t="shared" si="21"/>
        <v>0</v>
      </c>
      <c r="Y106" s="115">
        <f t="shared" si="21"/>
        <v>0</v>
      </c>
      <c r="AA106" s="115">
        <f t="shared" si="21"/>
        <v>0</v>
      </c>
      <c r="AC106" s="115">
        <f t="shared" si="21"/>
        <v>0</v>
      </c>
      <c r="AD106" s="115">
        <f t="shared" si="21"/>
        <v>0</v>
      </c>
      <c r="AE106" s="403">
        <f>SUM(I106:AD106)</f>
        <v>119.58385732251058</v>
      </c>
    </row>
    <row r="107" spans="1:31" outlineLevel="1">
      <c r="A107" s="90"/>
      <c r="B107" s="91"/>
      <c r="C107" s="90"/>
      <c r="D107" s="90"/>
      <c r="E107" s="90"/>
      <c r="F107" s="90"/>
      <c r="G107" s="90"/>
      <c r="H107" s="414"/>
      <c r="I107" s="414"/>
      <c r="J107" s="414"/>
      <c r="K107" s="414"/>
      <c r="L107" s="414"/>
      <c r="M107" s="414"/>
      <c r="N107" s="414"/>
      <c r="O107" s="414"/>
      <c r="P107" s="414"/>
      <c r="Q107" s="414"/>
      <c r="R107" s="414"/>
      <c r="S107" s="414"/>
      <c r="T107" s="414"/>
      <c r="U107" s="414"/>
      <c r="V107" s="414"/>
      <c r="W107" s="414"/>
      <c r="X107" s="414"/>
      <c r="Y107" s="414"/>
      <c r="Z107" s="414"/>
      <c r="AA107" s="414"/>
      <c r="AB107" s="414"/>
      <c r="AC107" s="414"/>
      <c r="AD107" s="414"/>
    </row>
    <row r="108" spans="1:31" outlineLevel="1">
      <c r="A108" s="108" t="s">
        <v>1025</v>
      </c>
      <c r="B108" s="108"/>
      <c r="C108" s="108"/>
      <c r="D108" s="108"/>
      <c r="E108" s="108" t="s">
        <v>791</v>
      </c>
      <c r="F108" s="108"/>
      <c r="G108" s="108"/>
      <c r="H108" s="416"/>
      <c r="I108" s="416"/>
      <c r="J108" s="416"/>
      <c r="K108" s="416">
        <v>1238</v>
      </c>
      <c r="L108" s="416"/>
      <c r="M108" s="416">
        <v>1236</v>
      </c>
      <c r="N108" s="416"/>
      <c r="O108" s="416">
        <v>1238</v>
      </c>
      <c r="P108" s="416"/>
      <c r="Q108" s="416"/>
      <c r="R108" s="416"/>
      <c r="S108" s="416"/>
      <c r="T108" s="416"/>
      <c r="U108" s="416"/>
      <c r="V108" s="416"/>
      <c r="W108" s="416"/>
      <c r="X108" s="416"/>
      <c r="Y108" s="416"/>
      <c r="Z108" s="416"/>
      <c r="AA108" s="416"/>
      <c r="AB108" s="416"/>
      <c r="AC108" s="416"/>
      <c r="AD108" s="416"/>
      <c r="AE108" s="409"/>
    </row>
    <row r="109" spans="1:31" outlineLevel="1">
      <c r="A109" s="108">
        <v>450700</v>
      </c>
      <c r="B109" s="108" t="s">
        <v>1026</v>
      </c>
      <c r="C109" t="s">
        <v>204</v>
      </c>
      <c r="D109" t="str">
        <f>VLOOKUP(C109,'Price Table 8 OHB'!A:B,2,FALSE)</f>
        <v>AOCS / GNC - Engineering and SW</v>
      </c>
      <c r="E109" s="108" t="s">
        <v>792</v>
      </c>
      <c r="F109" s="108"/>
      <c r="G109" s="108"/>
      <c r="H109" s="416"/>
      <c r="I109" s="416">
        <f>I108*U15*0.001</f>
        <v>0</v>
      </c>
      <c r="J109" s="416"/>
      <c r="K109" s="416">
        <f>K108*U15*0.001</f>
        <v>123.37067947105675</v>
      </c>
      <c r="L109" s="416"/>
      <c r="M109" s="416">
        <f>M108*U15*0.001</f>
        <v>123.17137304218589</v>
      </c>
      <c r="N109" s="416"/>
      <c r="O109" s="416">
        <f>O108*U15*0.001</f>
        <v>123.37067947105675</v>
      </c>
      <c r="P109" s="416"/>
      <c r="Q109" s="416">
        <f>Q108*U15*0.001</f>
        <v>0</v>
      </c>
      <c r="R109" s="416"/>
      <c r="S109" s="416">
        <f>S108*U15*0.001</f>
        <v>0</v>
      </c>
      <c r="T109" s="416"/>
      <c r="U109" s="416">
        <f>U108*U15*0.001</f>
        <v>0</v>
      </c>
      <c r="V109" s="416"/>
      <c r="W109" s="416">
        <f>W108*U15*0.001</f>
        <v>0</v>
      </c>
      <c r="X109" s="416"/>
      <c r="Y109" s="416">
        <f>Y108*U15*0.001</f>
        <v>0</v>
      </c>
      <c r="Z109" s="416"/>
      <c r="AA109" s="416">
        <f>AA108*U15*0.001</f>
        <v>0</v>
      </c>
      <c r="AB109" s="416"/>
      <c r="AC109" s="416">
        <f>AC108*U15*0.001</f>
        <v>0</v>
      </c>
      <c r="AD109" s="416">
        <f>AD108*U15*0.001</f>
        <v>0</v>
      </c>
      <c r="AE109" s="403">
        <f t="shared" ref="AE109:AE111" si="22">SUM(I109:AD109)</f>
        <v>369.9127319842994</v>
      </c>
    </row>
    <row r="110" spans="1:31" outlineLevel="1">
      <c r="A110" s="108">
        <v>450700</v>
      </c>
      <c r="B110" s="108" t="s">
        <v>1026</v>
      </c>
      <c r="C110" t="s">
        <v>592</v>
      </c>
      <c r="D110" t="str">
        <f>VLOOKUP(C110,'Price Table 8 OHB'!A:B,2,FALSE)</f>
        <v>AOCS / GNC - HW procurements</v>
      </c>
      <c r="E110" s="108" t="s">
        <v>793</v>
      </c>
      <c r="F110" s="108"/>
      <c r="G110" s="108"/>
      <c r="H110" s="416"/>
      <c r="I110" s="416"/>
      <c r="J110" s="416"/>
      <c r="K110" s="416">
        <f>K415+K423+K431+K437+K442+K449+K456+K462</f>
        <v>290.125</v>
      </c>
      <c r="L110" s="416"/>
      <c r="M110" s="416">
        <f>M415+M423+M431+M437+M442+M449+M456+M462</f>
        <v>1022.75</v>
      </c>
      <c r="N110" s="416"/>
      <c r="O110" s="416">
        <f>O415+O423+O431+O437+O442+O449+O456+O462</f>
        <v>991.625</v>
      </c>
      <c r="P110" s="416"/>
      <c r="Q110" s="416"/>
      <c r="R110" s="416"/>
      <c r="S110" s="416"/>
      <c r="T110" s="416"/>
      <c r="U110" s="416"/>
      <c r="V110" s="416"/>
      <c r="W110" s="416"/>
      <c r="X110" s="416"/>
      <c r="Y110" s="416"/>
      <c r="Z110" s="416"/>
      <c r="AA110" s="416"/>
      <c r="AB110" s="416"/>
      <c r="AC110" s="416"/>
      <c r="AD110" s="416"/>
      <c r="AE110" s="403">
        <f t="shared" si="22"/>
        <v>2304.5</v>
      </c>
    </row>
    <row r="111" spans="1:31" outlineLevel="1">
      <c r="A111" s="108">
        <v>450700</v>
      </c>
      <c r="B111" s="108" t="s">
        <v>1026</v>
      </c>
      <c r="C111" t="s">
        <v>204</v>
      </c>
      <c r="D111" t="str">
        <f>VLOOKUP(C111,'Price Table 8 OHB'!A:B,2,FALSE)</f>
        <v>AOCS / GNC - Engineering and SW</v>
      </c>
      <c r="E111" s="108" t="s">
        <v>966</v>
      </c>
      <c r="F111" s="108"/>
      <c r="G111" s="108"/>
      <c r="H111" s="416"/>
      <c r="I111" s="416"/>
      <c r="J111" s="416"/>
      <c r="K111" s="416">
        <v>10</v>
      </c>
      <c r="L111" s="416"/>
      <c r="M111" s="416">
        <v>10</v>
      </c>
      <c r="N111" s="416"/>
      <c r="O111" s="416">
        <v>10</v>
      </c>
      <c r="P111" s="416"/>
      <c r="Q111" s="416"/>
      <c r="R111" s="416"/>
      <c r="S111" s="416"/>
      <c r="T111" s="416"/>
      <c r="U111" s="416"/>
      <c r="V111" s="416"/>
      <c r="W111" s="416"/>
      <c r="X111" s="416"/>
      <c r="Y111" s="416"/>
      <c r="Z111" s="416"/>
      <c r="AA111" s="416"/>
      <c r="AB111" s="416"/>
      <c r="AC111" s="416"/>
      <c r="AD111" s="416"/>
      <c r="AE111" s="403">
        <f t="shared" si="22"/>
        <v>30</v>
      </c>
    </row>
    <row r="112" spans="1:31" outlineLevel="1">
      <c r="A112" s="108"/>
      <c r="B112" s="108"/>
      <c r="C112" s="108"/>
      <c r="D112" s="108"/>
      <c r="E112" s="108" t="s">
        <v>794</v>
      </c>
      <c r="F112" s="108"/>
      <c r="G112" s="108"/>
      <c r="H112" s="416"/>
      <c r="I112" s="416">
        <f t="shared" ref="I112:AD112" si="23">I109+I110+I111</f>
        <v>0</v>
      </c>
      <c r="J112" s="416"/>
      <c r="K112" s="416">
        <f t="shared" si="23"/>
        <v>423.49567947105675</v>
      </c>
      <c r="L112" s="416"/>
      <c r="M112" s="416">
        <f>M109+M110+M111</f>
        <v>1155.9213730421859</v>
      </c>
      <c r="N112" s="416"/>
      <c r="O112" s="416">
        <f t="shared" si="23"/>
        <v>1124.9956794710567</v>
      </c>
      <c r="P112" s="416"/>
      <c r="Q112" s="416">
        <f t="shared" si="23"/>
        <v>0</v>
      </c>
      <c r="R112" s="416"/>
      <c r="S112" s="416">
        <f t="shared" si="23"/>
        <v>0</v>
      </c>
      <c r="T112" s="416"/>
      <c r="U112" s="416">
        <f t="shared" si="23"/>
        <v>0</v>
      </c>
      <c r="V112" s="416"/>
      <c r="W112" s="416">
        <f t="shared" si="23"/>
        <v>0</v>
      </c>
      <c r="X112" s="416"/>
      <c r="Y112" s="416">
        <f t="shared" si="23"/>
        <v>0</v>
      </c>
      <c r="Z112" s="416"/>
      <c r="AA112" s="416">
        <f t="shared" si="23"/>
        <v>0</v>
      </c>
      <c r="AB112" s="416"/>
      <c r="AC112" s="416">
        <f t="shared" si="23"/>
        <v>0</v>
      </c>
      <c r="AD112" s="416">
        <f t="shared" si="23"/>
        <v>0</v>
      </c>
      <c r="AE112" s="409">
        <f>SUM(I112:AD112)</f>
        <v>2704.4127319842992</v>
      </c>
    </row>
    <row r="113" spans="1:32" s="16" customFormat="1" outlineLevel="1">
      <c r="A113" s="110"/>
      <c r="B113" s="111"/>
      <c r="C113" s="110"/>
      <c r="D113" s="110"/>
      <c r="E113" s="110"/>
      <c r="F113" s="110"/>
      <c r="G113" s="110"/>
      <c r="H113" s="417"/>
      <c r="I113" s="417"/>
      <c r="J113" s="417"/>
      <c r="K113" s="417"/>
      <c r="L113" s="417"/>
      <c r="M113" s="417"/>
      <c r="N113" s="417"/>
      <c r="O113" s="417"/>
      <c r="P113" s="417"/>
      <c r="Q113" s="417"/>
      <c r="R113" s="417"/>
      <c r="S113" s="417"/>
      <c r="T113" s="417"/>
      <c r="U113" s="417"/>
      <c r="V113" s="417"/>
      <c r="W113" s="417"/>
      <c r="X113" s="417"/>
      <c r="Y113" s="417"/>
      <c r="Z113" s="417"/>
      <c r="AA113" s="417"/>
      <c r="AB113" s="417"/>
      <c r="AC113" s="417"/>
      <c r="AD113" s="417"/>
      <c r="AE113" s="402"/>
      <c r="AF113" s="390"/>
    </row>
    <row r="114" spans="1:32" outlineLevel="1">
      <c r="A114" t="s">
        <v>1029</v>
      </c>
      <c r="E114" t="s">
        <v>791</v>
      </c>
      <c r="M114" s="115">
        <v>500</v>
      </c>
      <c r="O114" s="115">
        <v>1200</v>
      </c>
      <c r="Q114" s="115">
        <v>310</v>
      </c>
    </row>
    <row r="115" spans="1:32" outlineLevel="1">
      <c r="A115">
        <v>450800</v>
      </c>
      <c r="B115" t="s">
        <v>1030</v>
      </c>
      <c r="C115" t="s">
        <v>204</v>
      </c>
      <c r="D115" t="str">
        <f>VLOOKUP(C115,'Price Table 8 OHB'!A:B,2,FALSE)</f>
        <v>AOCS / GNC - Engineering and SW</v>
      </c>
      <c r="E115" t="s">
        <v>792</v>
      </c>
      <c r="I115" s="115">
        <f>I114*U15*0.001</f>
        <v>0</v>
      </c>
      <c r="K115" s="115">
        <f>K114*U15*0.001</f>
        <v>0</v>
      </c>
      <c r="M115" s="115">
        <f>M114*U15*0.001</f>
        <v>49.826607217712741</v>
      </c>
      <c r="O115" s="115">
        <f>O114*U15*0.001</f>
        <v>119.58385732251058</v>
      </c>
      <c r="Q115" s="115">
        <f>Q114*U15*0.001</f>
        <v>30.8924964749819</v>
      </c>
      <c r="S115" s="115">
        <f>S114*U15*0.001</f>
        <v>0</v>
      </c>
      <c r="U115" s="115">
        <f>U114*U15*0.001</f>
        <v>0</v>
      </c>
      <c r="W115" s="115">
        <f>W114*U15*0.001</f>
        <v>0</v>
      </c>
      <c r="Y115" s="115">
        <f>Y114*U15*0.001</f>
        <v>0</v>
      </c>
      <c r="AA115" s="115">
        <f>AA114*U15*0.001</f>
        <v>0</v>
      </c>
      <c r="AC115" s="115">
        <f>AC114*U15*0.001</f>
        <v>0</v>
      </c>
      <c r="AD115" s="115">
        <f>AD114*U15*0.001</f>
        <v>0</v>
      </c>
      <c r="AE115" s="403">
        <f t="shared" ref="AE115:AE117" si="24">SUM(I115:AD115)</f>
        <v>200.30296101520523</v>
      </c>
    </row>
    <row r="116" spans="1:32" outlineLevel="1">
      <c r="A116">
        <v>450800</v>
      </c>
      <c r="B116" t="s">
        <v>1030</v>
      </c>
      <c r="C116" t="s">
        <v>592</v>
      </c>
      <c r="D116" t="str">
        <f>VLOOKUP(C116,'Price Table 8 OHB'!A:B,2,FALSE)</f>
        <v>AOCS / GNC - HW procurements</v>
      </c>
      <c r="E116" t="s">
        <v>793</v>
      </c>
      <c r="AE116" s="403">
        <f t="shared" si="24"/>
        <v>0</v>
      </c>
    </row>
    <row r="117" spans="1:32" outlineLevel="1">
      <c r="A117">
        <v>450800</v>
      </c>
      <c r="B117" t="s">
        <v>1030</v>
      </c>
      <c r="C117" t="s">
        <v>204</v>
      </c>
      <c r="D117" t="str">
        <f>VLOOKUP(C117,'Price Table 8 OHB'!A:B,2,FALSE)</f>
        <v>AOCS / GNC - Engineering and SW</v>
      </c>
      <c r="E117" t="s">
        <v>966</v>
      </c>
      <c r="AE117" s="403">
        <f t="shared" si="24"/>
        <v>0</v>
      </c>
    </row>
    <row r="118" spans="1:32" outlineLevel="1">
      <c r="E118" t="s">
        <v>794</v>
      </c>
      <c r="H118" s="118"/>
      <c r="I118" s="115">
        <f t="shared" ref="I118:AD118" si="25">I115+I116+I117</f>
        <v>0</v>
      </c>
      <c r="K118" s="115">
        <f t="shared" si="25"/>
        <v>0</v>
      </c>
      <c r="M118" s="115">
        <f>M115+M116+M117</f>
        <v>49.826607217712741</v>
      </c>
      <c r="O118" s="115">
        <f t="shared" si="25"/>
        <v>119.58385732251058</v>
      </c>
      <c r="Q118" s="115">
        <f t="shared" si="25"/>
        <v>30.8924964749819</v>
      </c>
      <c r="S118" s="115">
        <f t="shared" si="25"/>
        <v>0</v>
      </c>
      <c r="U118" s="115">
        <f t="shared" si="25"/>
        <v>0</v>
      </c>
      <c r="W118" s="115">
        <f t="shared" si="25"/>
        <v>0</v>
      </c>
      <c r="Y118" s="115">
        <f t="shared" si="25"/>
        <v>0</v>
      </c>
      <c r="AA118" s="115">
        <f t="shared" si="25"/>
        <v>0</v>
      </c>
      <c r="AC118" s="115">
        <f t="shared" si="25"/>
        <v>0</v>
      </c>
      <c r="AD118" s="115">
        <f t="shared" si="25"/>
        <v>0</v>
      </c>
      <c r="AE118" s="403">
        <f>SUM(I118:AD118)</f>
        <v>200.30296101520523</v>
      </c>
    </row>
    <row r="119" spans="1:32" outlineLevel="1">
      <c r="A119" s="90"/>
      <c r="B119" s="91"/>
      <c r="C119" s="90"/>
      <c r="D119" s="90"/>
      <c r="E119" s="90"/>
      <c r="F119" s="90"/>
      <c r="G119" s="90"/>
      <c r="H119" s="414"/>
      <c r="I119" s="414"/>
      <c r="J119" s="414"/>
      <c r="K119" s="414"/>
      <c r="L119" s="414"/>
      <c r="M119" s="414"/>
      <c r="N119" s="414"/>
      <c r="O119" s="414"/>
      <c r="P119" s="414"/>
      <c r="Q119" s="414"/>
      <c r="R119" s="414"/>
      <c r="S119" s="414"/>
      <c r="T119" s="414"/>
      <c r="U119" s="414"/>
      <c r="V119" s="414"/>
      <c r="W119" s="414"/>
      <c r="X119" s="414"/>
      <c r="Y119" s="414"/>
      <c r="Z119" s="414"/>
      <c r="AA119" s="414"/>
      <c r="AB119" s="414"/>
      <c r="AC119" s="414"/>
      <c r="AD119" s="414"/>
    </row>
    <row r="120" spans="1:32" outlineLevel="1">
      <c r="A120" t="s">
        <v>1033</v>
      </c>
      <c r="E120" t="s">
        <v>791</v>
      </c>
      <c r="S120" s="115">
        <v>669</v>
      </c>
      <c r="U120" s="115">
        <v>1100</v>
      </c>
      <c r="W120" s="115">
        <v>1100</v>
      </c>
    </row>
    <row r="121" spans="1:32" outlineLevel="1">
      <c r="A121">
        <v>450900</v>
      </c>
      <c r="B121" t="s">
        <v>1034</v>
      </c>
      <c r="C121" t="s">
        <v>204</v>
      </c>
      <c r="D121" t="str">
        <f>VLOOKUP(C121,'Price Table 8 OHB'!A:B,2,FALSE)</f>
        <v>AOCS / GNC - Engineering and SW</v>
      </c>
      <c r="E121" t="s">
        <v>792</v>
      </c>
      <c r="I121" s="115">
        <f>I120*U15*0.001</f>
        <v>0</v>
      </c>
      <c r="K121" s="115">
        <f>K120*U15*0.001</f>
        <v>0</v>
      </c>
      <c r="M121" s="115">
        <f>M120*U15*0.001</f>
        <v>0</v>
      </c>
      <c r="O121" s="115">
        <f>O120*U15*0.001</f>
        <v>0</v>
      </c>
      <c r="Q121" s="115">
        <f>Q120*U15*0.001</f>
        <v>0</v>
      </c>
      <c r="S121" s="115">
        <f>S120*U15*0.001</f>
        <v>66.668000457299655</v>
      </c>
      <c r="U121" s="115">
        <f>U120*U15*0.001</f>
        <v>109.61853587896803</v>
      </c>
      <c r="W121" s="115">
        <f>W120*U15*0.001</f>
        <v>109.61853587896803</v>
      </c>
      <c r="Y121" s="115">
        <f>Y120*U15*0.001</f>
        <v>0</v>
      </c>
      <c r="AA121" s="115">
        <f>AA120*U15*0.001</f>
        <v>0</v>
      </c>
      <c r="AC121" s="115">
        <f>AC120*U15*0.001</f>
        <v>0</v>
      </c>
      <c r="AD121" s="115">
        <f>AD120*U15*0.001</f>
        <v>0</v>
      </c>
      <c r="AE121" s="403">
        <f t="shared" ref="AE121:AE123" si="26">SUM(I121:AD121)</f>
        <v>285.90507221523569</v>
      </c>
    </row>
    <row r="122" spans="1:32" outlineLevel="1">
      <c r="A122">
        <v>450900</v>
      </c>
      <c r="B122" t="s">
        <v>1034</v>
      </c>
      <c r="C122" t="s">
        <v>592</v>
      </c>
      <c r="D122" t="str">
        <f>VLOOKUP(C122,'Price Table 8 OHB'!A:B,2,FALSE)</f>
        <v>AOCS / GNC - HW procurements</v>
      </c>
      <c r="E122" t="s">
        <v>793</v>
      </c>
      <c r="F122">
        <f>U51+48+U63+U69+U75+U81+U87+U93+U99+U105+U111+U117+U123</f>
        <v>48</v>
      </c>
      <c r="AE122" s="403">
        <f t="shared" si="26"/>
        <v>0</v>
      </c>
    </row>
    <row r="123" spans="1:32" outlineLevel="1">
      <c r="A123">
        <v>450900</v>
      </c>
      <c r="B123" t="s">
        <v>1034</v>
      </c>
      <c r="C123" t="s">
        <v>204</v>
      </c>
      <c r="D123" t="str">
        <f>VLOOKUP(C123,'Price Table 8 OHB'!A:B,2,FALSE)</f>
        <v>AOCS / GNC - Engineering and SW</v>
      </c>
      <c r="E123" t="s">
        <v>966</v>
      </c>
      <c r="AE123" s="403">
        <f t="shared" si="26"/>
        <v>0</v>
      </c>
    </row>
    <row r="124" spans="1:32" outlineLevel="1">
      <c r="B124"/>
      <c r="E124" t="s">
        <v>1035</v>
      </c>
      <c r="H124" s="118"/>
      <c r="I124" s="115">
        <f t="shared" ref="I124:AD124" si="27">I121+I122+I123</f>
        <v>0</v>
      </c>
      <c r="K124" s="115">
        <f t="shared" si="27"/>
        <v>0</v>
      </c>
      <c r="M124" s="115">
        <f>M121+M122+M123</f>
        <v>0</v>
      </c>
      <c r="O124" s="115">
        <f t="shared" si="27"/>
        <v>0</v>
      </c>
      <c r="Q124" s="115">
        <f t="shared" si="27"/>
        <v>0</v>
      </c>
      <c r="S124" s="115">
        <f t="shared" si="27"/>
        <v>66.668000457299655</v>
      </c>
      <c r="U124" s="115">
        <f t="shared" si="27"/>
        <v>109.61853587896803</v>
      </c>
      <c r="W124" s="115">
        <f t="shared" si="27"/>
        <v>109.61853587896803</v>
      </c>
      <c r="Y124" s="115">
        <f t="shared" si="27"/>
        <v>0</v>
      </c>
      <c r="AA124" s="115">
        <f t="shared" si="27"/>
        <v>0</v>
      </c>
      <c r="AC124" s="115">
        <f t="shared" si="27"/>
        <v>0</v>
      </c>
      <c r="AD124" s="115">
        <f t="shared" si="27"/>
        <v>0</v>
      </c>
      <c r="AE124" s="403">
        <f>SUM(I124:AD124)</f>
        <v>285.90507221523569</v>
      </c>
    </row>
    <row r="125" spans="1:32" s="16" customFormat="1">
      <c r="A125" s="72"/>
      <c r="B125" s="107"/>
      <c r="C125" s="72"/>
      <c r="D125" s="72"/>
      <c r="E125" s="72"/>
      <c r="F125" s="72"/>
      <c r="G125" s="72"/>
      <c r="H125" s="418"/>
      <c r="I125" s="419"/>
      <c r="J125" s="419"/>
      <c r="K125" s="419"/>
      <c r="L125" s="419"/>
      <c r="M125" s="419"/>
      <c r="N125" s="419"/>
      <c r="O125" s="419"/>
      <c r="P125" s="419"/>
      <c r="Q125" s="419"/>
      <c r="R125" s="419"/>
      <c r="S125" s="419"/>
      <c r="T125" s="419"/>
      <c r="U125" s="419"/>
      <c r="V125" s="419"/>
      <c r="W125" s="419"/>
      <c r="X125" s="419"/>
      <c r="Y125" s="419"/>
      <c r="Z125" s="419"/>
      <c r="AA125" s="419"/>
      <c r="AB125" s="419"/>
      <c r="AC125" s="419"/>
      <c r="AD125" s="419"/>
      <c r="AE125" s="402"/>
      <c r="AF125" s="390"/>
    </row>
    <row r="126" spans="1:32">
      <c r="A126" s="73"/>
      <c r="B126" s="70"/>
      <c r="C126" s="73"/>
      <c r="D126" s="73"/>
      <c r="E126" s="73" t="s">
        <v>791</v>
      </c>
      <c r="F126" s="73"/>
      <c r="G126" s="73"/>
      <c r="H126" s="408"/>
      <c r="I126" s="407">
        <f>I48+I54+I60+I66+I72+I78+I84+I90+I96+I102+I108+I114+I120</f>
        <v>0</v>
      </c>
      <c r="J126" s="407"/>
      <c r="K126" s="407">
        <f>K48+K54+K60+K66+K72+K78+K84+K90+K96+K102+K108+K114+K120</f>
        <v>6641</v>
      </c>
      <c r="L126" s="407"/>
      <c r="M126" s="407">
        <f t="shared" ref="M126:AD126" si="28">M48+M54+M60+M66+M72+M78+M84+M90+M96+M102+M108+M114+M120</f>
        <v>9021</v>
      </c>
      <c r="N126" s="407"/>
      <c r="O126" s="407">
        <f t="shared" si="28"/>
        <v>5659</v>
      </c>
      <c r="P126" s="407"/>
      <c r="Q126" s="407">
        <f t="shared" si="28"/>
        <v>2229</v>
      </c>
      <c r="R126" s="407"/>
      <c r="S126" s="407">
        <f t="shared" si="28"/>
        <v>2717</v>
      </c>
      <c r="T126" s="407"/>
      <c r="U126" s="407">
        <f t="shared" si="28"/>
        <v>1740</v>
      </c>
      <c r="V126" s="407"/>
      <c r="W126" s="407">
        <f t="shared" si="28"/>
        <v>1100</v>
      </c>
      <c r="X126" s="407"/>
      <c r="Y126" s="407">
        <f t="shared" si="28"/>
        <v>0</v>
      </c>
      <c r="Z126" s="407"/>
      <c r="AA126" s="407">
        <f t="shared" si="28"/>
        <v>0</v>
      </c>
      <c r="AB126" s="407"/>
      <c r="AC126" s="407">
        <f t="shared" si="28"/>
        <v>0</v>
      </c>
      <c r="AD126" s="407">
        <f t="shared" si="28"/>
        <v>0</v>
      </c>
    </row>
    <row r="127" spans="1:32">
      <c r="A127" s="73"/>
      <c r="B127" s="73" t="s">
        <v>1036</v>
      </c>
      <c r="C127" s="73"/>
      <c r="D127" s="73"/>
      <c r="E127" s="73" t="s">
        <v>792</v>
      </c>
      <c r="F127" s="73"/>
      <c r="G127" s="73"/>
      <c r="H127" s="408"/>
      <c r="I127" s="407">
        <f>I126*U15*0.001</f>
        <v>0</v>
      </c>
      <c r="J127" s="407"/>
      <c r="K127" s="407">
        <f>K126*U15*0.001</f>
        <v>661.79699706566066</v>
      </c>
      <c r="L127" s="407"/>
      <c r="M127" s="407">
        <f>M126*U15*0.001</f>
        <v>898.97164742197333</v>
      </c>
      <c r="N127" s="407"/>
      <c r="O127" s="407">
        <f>O126*U15*0.001</f>
        <v>563.93754049007282</v>
      </c>
      <c r="P127" s="407"/>
      <c r="Q127" s="407">
        <f>Q126*U15*0.001</f>
        <v>222.1270149765634</v>
      </c>
      <c r="R127" s="407"/>
      <c r="S127" s="407">
        <f>S126*U15*0.001</f>
        <v>270.75778362105109</v>
      </c>
      <c r="T127" s="407"/>
      <c r="U127" s="407">
        <f>U126*U15*0.001</f>
        <v>173.39659311764035</v>
      </c>
      <c r="V127" s="407"/>
      <c r="W127" s="407">
        <f>W126*U15*0.001</f>
        <v>109.61853587896803</v>
      </c>
      <c r="X127" s="407"/>
      <c r="Y127" s="407">
        <f>Y126*U15*0.001</f>
        <v>0</v>
      </c>
      <c r="Z127" s="407"/>
      <c r="AA127" s="407">
        <f>AA126*U15*0.001</f>
        <v>0</v>
      </c>
      <c r="AB127" s="407"/>
      <c r="AC127" s="407">
        <f>AC126*U15*0.001</f>
        <v>0</v>
      </c>
      <c r="AD127" s="407">
        <f>AD126*U15*0.001</f>
        <v>0</v>
      </c>
      <c r="AE127" s="403">
        <f t="shared" ref="AE127:AE129" si="29">SUM(I127:AD127)</f>
        <v>2900.6061125719298</v>
      </c>
    </row>
    <row r="128" spans="1:32">
      <c r="A128" s="73"/>
      <c r="B128" s="73" t="s">
        <v>1036</v>
      </c>
      <c r="C128" s="73"/>
      <c r="D128" s="73"/>
      <c r="E128" s="73" t="s">
        <v>1037</v>
      </c>
      <c r="F128" s="73"/>
      <c r="G128" s="73"/>
      <c r="H128" s="408"/>
      <c r="I128" s="407">
        <f>I50+I56+I62+I68+I74+I80+I86+I92+I98+I104+I110+I116+I122</f>
        <v>0</v>
      </c>
      <c r="J128" s="407"/>
      <c r="K128" s="407">
        <f>K50+K56+K62+K68+K74+K80+K86+K92+K98+K104+K110+K116+K122</f>
        <v>290.125</v>
      </c>
      <c r="L128" s="407"/>
      <c r="M128" s="407">
        <f t="shared" ref="M128:AC128" si="30">M50+M56+M62+M68+M74+M80+M86+M92+M98+M104+M110+M116+M122</f>
        <v>1022.75</v>
      </c>
      <c r="N128" s="407"/>
      <c r="O128" s="407">
        <f t="shared" si="30"/>
        <v>991.625</v>
      </c>
      <c r="P128" s="407"/>
      <c r="Q128" s="407">
        <f t="shared" si="30"/>
        <v>0</v>
      </c>
      <c r="R128" s="407"/>
      <c r="S128" s="407">
        <f t="shared" si="30"/>
        <v>0</v>
      </c>
      <c r="T128" s="407"/>
      <c r="U128" s="407">
        <f t="shared" si="30"/>
        <v>0</v>
      </c>
      <c r="V128" s="407"/>
      <c r="W128" s="407">
        <f t="shared" si="30"/>
        <v>0</v>
      </c>
      <c r="X128" s="407"/>
      <c r="Y128" s="407">
        <f t="shared" si="30"/>
        <v>0</v>
      </c>
      <c r="Z128" s="407"/>
      <c r="AA128" s="407">
        <f t="shared" si="30"/>
        <v>0</v>
      </c>
      <c r="AB128" s="407"/>
      <c r="AC128" s="407">
        <f t="shared" si="30"/>
        <v>0</v>
      </c>
      <c r="AD128" s="407"/>
      <c r="AE128" s="403">
        <f t="shared" si="29"/>
        <v>2304.5</v>
      </c>
    </row>
    <row r="129" spans="1:32">
      <c r="A129" s="73"/>
      <c r="B129" s="73" t="s">
        <v>1036</v>
      </c>
      <c r="C129" s="73"/>
      <c r="D129" s="73"/>
      <c r="E129" s="73" t="s">
        <v>1038</v>
      </c>
      <c r="F129" s="73"/>
      <c r="G129" s="73"/>
      <c r="H129" s="408"/>
      <c r="I129" s="407">
        <f>I51+I57+I63+I69+I75+I81+I87+I93+I99+I105+I111+I117+I123</f>
        <v>0</v>
      </c>
      <c r="J129" s="407"/>
      <c r="K129" s="407">
        <f>K51+K57+K63+K69+K75+K81+K87+K93+K99+K105+K111+K117+K123</f>
        <v>10</v>
      </c>
      <c r="L129" s="407"/>
      <c r="M129" s="407">
        <f>M51+M57+M63+M69+M75+M81+M87+M93+M99+M105+M111+M117+M123</f>
        <v>10</v>
      </c>
      <c r="N129" s="407"/>
      <c r="O129" s="407">
        <f>O51+O57+O63+O69+O75+O81+O87+O93+O99+O105+O111+O117+O123</f>
        <v>10</v>
      </c>
      <c r="P129" s="407"/>
      <c r="Q129" s="407">
        <f>Q51+Q57+Q63+Q69+Q75+Q81+Q87+Q93+Q99+Q105+Q111+Q117+Q123</f>
        <v>0</v>
      </c>
      <c r="R129" s="407"/>
      <c r="S129" s="407">
        <f>S51+S57+S63+S69+S75+S81+S87+S93+S99+S105+S111+S117+S123</f>
        <v>0</v>
      </c>
      <c r="T129" s="407"/>
      <c r="U129" s="407">
        <f>S51+S57+S63+S69+S75+S81+S87+S93+S99+S105+S111+S117+S123</f>
        <v>0</v>
      </c>
      <c r="V129" s="407"/>
      <c r="W129" s="407">
        <f>W51+W57+W63+W69+W75+W81+W87+W93+W99+W105+W111+W117+W123</f>
        <v>0</v>
      </c>
      <c r="X129" s="407"/>
      <c r="Y129" s="407">
        <f>Y51+Y57+Y63+Y69+Y75+Y81+Y87+Y93+Y99+Y105+Y111+Y117+Y123</f>
        <v>0</v>
      </c>
      <c r="Z129" s="407"/>
      <c r="AA129" s="407">
        <f>AA51+AA57+AA63+AA69+AA75+AA81+AA87+AA93+AA99+AA105+AA111+AA117+AA123</f>
        <v>0</v>
      </c>
      <c r="AB129" s="407"/>
      <c r="AC129" s="407">
        <f>AC51+AC57+AC63+AC69+AC75+AC81+AC87+AC93+AC99+AC105+AC111+AC117+AC123</f>
        <v>0</v>
      </c>
      <c r="AD129" s="407">
        <f>AD50+AD56+AD62+AD68+AD74+AD80+AD86+AD92+AD98+AD104+AD110+AD116+AD122</f>
        <v>0</v>
      </c>
      <c r="AE129" s="403">
        <f t="shared" si="29"/>
        <v>30</v>
      </c>
    </row>
    <row r="130" spans="1:32">
      <c r="A130" s="73"/>
      <c r="B130" s="73" t="s">
        <v>1036</v>
      </c>
      <c r="C130" s="73"/>
      <c r="D130" s="73"/>
      <c r="E130" s="73" t="s">
        <v>794</v>
      </c>
      <c r="F130" s="73"/>
      <c r="G130" s="73"/>
      <c r="H130" s="408"/>
      <c r="I130" s="407">
        <f>I127+I128+I129</f>
        <v>0</v>
      </c>
      <c r="J130" s="407"/>
      <c r="K130" s="407">
        <f>K127+K128+K129</f>
        <v>961.92199706566066</v>
      </c>
      <c r="L130" s="407"/>
      <c r="M130" s="407">
        <f>M127+M128+M129</f>
        <v>1931.7216474219733</v>
      </c>
      <c r="N130" s="407"/>
      <c r="O130" s="407">
        <f>O127+O128+O129</f>
        <v>1565.5625404900729</v>
      </c>
      <c r="P130" s="407"/>
      <c r="Q130" s="407">
        <f>Q127+Q128+Q129</f>
        <v>222.1270149765634</v>
      </c>
      <c r="R130" s="407"/>
      <c r="S130" s="407">
        <f>S127+S128+S129</f>
        <v>270.75778362105109</v>
      </c>
      <c r="T130" s="407"/>
      <c r="U130" s="407">
        <f>U126*U15*0.001</f>
        <v>173.39659311764035</v>
      </c>
      <c r="V130" s="407"/>
      <c r="W130" s="407">
        <f>W126*U15*0.001</f>
        <v>109.61853587896803</v>
      </c>
      <c r="X130" s="407"/>
      <c r="Y130" s="407">
        <f>Y127+Y128+Y129</f>
        <v>0</v>
      </c>
      <c r="Z130" s="407"/>
      <c r="AA130" s="407">
        <f>AA127+AA128+AA129</f>
        <v>0</v>
      </c>
      <c r="AB130" s="407"/>
      <c r="AC130" s="407">
        <f>AC126*U15*0.001</f>
        <v>0</v>
      </c>
      <c r="AD130" s="407">
        <f>AD127+AD128+AD129</f>
        <v>0</v>
      </c>
      <c r="AE130" s="403">
        <f>SUM(I130:AD130)</f>
        <v>5235.1061125719298</v>
      </c>
    </row>
    <row r="131" spans="1:32" s="16" customFormat="1">
      <c r="A131" s="72"/>
      <c r="B131" s="107"/>
      <c r="C131" s="72"/>
      <c r="D131" s="72"/>
      <c r="E131" s="72"/>
      <c r="F131" s="72"/>
      <c r="G131" s="72"/>
      <c r="H131" s="419"/>
      <c r="I131" s="419"/>
      <c r="J131" s="419"/>
      <c r="K131" s="419"/>
      <c r="L131" s="419"/>
      <c r="M131" s="419"/>
      <c r="N131" s="419"/>
      <c r="O131" s="419"/>
      <c r="P131" s="419"/>
      <c r="Q131" s="419"/>
      <c r="R131" s="419"/>
      <c r="S131" s="419"/>
      <c r="T131" s="419"/>
      <c r="U131" s="419"/>
      <c r="V131" s="419"/>
      <c r="W131" s="419"/>
      <c r="X131" s="419"/>
      <c r="Y131" s="419"/>
      <c r="Z131" s="419"/>
      <c r="AA131" s="419"/>
      <c r="AB131" s="419"/>
      <c r="AC131" s="419"/>
      <c r="AD131" s="419"/>
      <c r="AE131" s="402">
        <f>SUM(AE52:AE124)*1.1</f>
        <v>11410.903467855644</v>
      </c>
      <c r="AF131" s="390"/>
    </row>
    <row r="132" spans="1:32" outlineLevel="1">
      <c r="A132" t="s">
        <v>1041</v>
      </c>
      <c r="E132" t="s">
        <v>791</v>
      </c>
      <c r="K132" s="115">
        <v>480</v>
      </c>
      <c r="M132" s="115">
        <v>360</v>
      </c>
      <c r="O132" s="115">
        <v>360</v>
      </c>
    </row>
    <row r="133" spans="1:32" outlineLevel="1">
      <c r="A133" t="s">
        <v>1042</v>
      </c>
      <c r="B133" t="s">
        <v>1042</v>
      </c>
      <c r="C133" t="s">
        <v>275</v>
      </c>
      <c r="D133" t="str">
        <f>VLOOKUP(C133,'Price Table 8 OHB'!A:B,2,FALSE)</f>
        <v>Propulsion - Engineering</v>
      </c>
      <c r="E133" t="s">
        <v>792</v>
      </c>
      <c r="I133" s="115">
        <f>I132*U15*0.001</f>
        <v>0</v>
      </c>
      <c r="K133" s="115">
        <f>K132*U15*0.001</f>
        <v>47.833542929004231</v>
      </c>
      <c r="M133" s="115">
        <f>M132*U15*0.001</f>
        <v>35.875157196753172</v>
      </c>
      <c r="O133" s="115">
        <f>O132*U15*0.001</f>
        <v>35.875157196753172</v>
      </c>
      <c r="Q133" s="115">
        <f>Q132*U15*0.001</f>
        <v>0</v>
      </c>
      <c r="S133" s="115">
        <f>S132*U15*0.001</f>
        <v>0</v>
      </c>
      <c r="U133" s="115">
        <f>U132*U15*0.001</f>
        <v>0</v>
      </c>
      <c r="W133" s="115">
        <f>W132*U15*0.001</f>
        <v>0</v>
      </c>
      <c r="Y133" s="115">
        <f>Y132*U15*0.001</f>
        <v>0</v>
      </c>
      <c r="AA133" s="115">
        <f>AA132*U15*0.001</f>
        <v>0</v>
      </c>
      <c r="AC133" s="115">
        <f>AC132*U15*0.001</f>
        <v>0</v>
      </c>
      <c r="AD133" s="115">
        <f>AD132*U15*0.001</f>
        <v>0</v>
      </c>
      <c r="AE133" s="403">
        <f t="shared" ref="AE133:AE135" si="31">SUM(I133:AD133)</f>
        <v>119.58385732251057</v>
      </c>
    </row>
    <row r="134" spans="1:32" outlineLevel="1">
      <c r="B134" t="s">
        <v>1042</v>
      </c>
      <c r="C134" t="s">
        <v>596</v>
      </c>
      <c r="D134" t="str">
        <f>VLOOKUP(C134,'Price Table 8 OHB'!A:B,2,FALSE)</f>
        <v>Propulsion - HW procurements</v>
      </c>
      <c r="E134" t="s">
        <v>793</v>
      </c>
      <c r="AE134" s="403">
        <f t="shared" si="31"/>
        <v>0</v>
      </c>
    </row>
    <row r="135" spans="1:32" outlineLevel="1">
      <c r="B135" t="s">
        <v>1042</v>
      </c>
      <c r="C135" t="s">
        <v>275</v>
      </c>
      <c r="D135" t="str">
        <f>VLOOKUP(C135,'Price Table 8 OHB'!A:B,2,FALSE)</f>
        <v>Propulsion - Engineering</v>
      </c>
      <c r="E135" t="s">
        <v>966</v>
      </c>
      <c r="AE135" s="403">
        <f t="shared" si="31"/>
        <v>0</v>
      </c>
    </row>
    <row r="136" spans="1:32" outlineLevel="1">
      <c r="E136" t="s">
        <v>794</v>
      </c>
      <c r="H136" s="118"/>
      <c r="I136" s="115">
        <f t="shared" ref="I136:AD136" si="32">I133+I134+I135</f>
        <v>0</v>
      </c>
      <c r="K136" s="115">
        <f t="shared" si="32"/>
        <v>47.833542929004231</v>
      </c>
      <c r="M136" s="115">
        <f>M133+M134+M135</f>
        <v>35.875157196753172</v>
      </c>
      <c r="O136" s="115">
        <f t="shared" si="32"/>
        <v>35.875157196753172</v>
      </c>
      <c r="Q136" s="115">
        <f t="shared" si="32"/>
        <v>0</v>
      </c>
      <c r="S136" s="115">
        <f t="shared" si="32"/>
        <v>0</v>
      </c>
      <c r="U136" s="115">
        <f t="shared" si="32"/>
        <v>0</v>
      </c>
      <c r="W136" s="115">
        <f t="shared" si="32"/>
        <v>0</v>
      </c>
      <c r="Y136" s="115">
        <f t="shared" si="32"/>
        <v>0</v>
      </c>
      <c r="AA136" s="115">
        <f t="shared" si="32"/>
        <v>0</v>
      </c>
      <c r="AC136" s="115">
        <f t="shared" si="32"/>
        <v>0</v>
      </c>
      <c r="AD136" s="115">
        <f t="shared" si="32"/>
        <v>0</v>
      </c>
      <c r="AE136" s="403">
        <f>SUM(I136:AD136)</f>
        <v>119.58385732251057</v>
      </c>
    </row>
    <row r="137" spans="1:32" outlineLevel="1">
      <c r="A137" s="90"/>
      <c r="B137" s="91"/>
      <c r="C137" s="90"/>
      <c r="D137" s="90"/>
      <c r="E137" s="90"/>
      <c r="F137" s="90"/>
      <c r="G137" s="90"/>
      <c r="H137" s="414"/>
      <c r="I137" s="414"/>
      <c r="J137" s="414"/>
      <c r="K137" s="414"/>
      <c r="L137" s="414"/>
      <c r="M137" s="414"/>
      <c r="N137" s="414"/>
      <c r="O137" s="414"/>
      <c r="P137" s="414"/>
      <c r="Q137" s="414"/>
      <c r="R137" s="414"/>
      <c r="S137" s="414"/>
      <c r="T137" s="414"/>
      <c r="U137" s="414"/>
      <c r="V137" s="414"/>
      <c r="W137" s="414"/>
      <c r="X137" s="414"/>
      <c r="Y137" s="414"/>
      <c r="Z137" s="414"/>
      <c r="AA137" s="414"/>
      <c r="AB137" s="414"/>
      <c r="AC137" s="414"/>
      <c r="AD137" s="414"/>
    </row>
    <row r="138" spans="1:32" outlineLevel="1">
      <c r="A138" t="s">
        <v>1044</v>
      </c>
      <c r="E138" t="s">
        <v>791</v>
      </c>
      <c r="M138" s="115">
        <v>300</v>
      </c>
      <c r="O138" s="115">
        <v>180</v>
      </c>
    </row>
    <row r="139" spans="1:32" outlineLevel="1">
      <c r="A139" t="s">
        <v>1046</v>
      </c>
      <c r="B139" t="s">
        <v>1291</v>
      </c>
      <c r="C139" t="s">
        <v>275</v>
      </c>
      <c r="D139" t="str">
        <f>VLOOKUP(C139,'Price Table 8 OHB'!A:B,2,FALSE)</f>
        <v>Propulsion - Engineering</v>
      </c>
      <c r="E139" t="s">
        <v>792</v>
      </c>
      <c r="I139" s="115">
        <f>I138*U15*0.001</f>
        <v>0</v>
      </c>
      <c r="K139" s="115">
        <f>K138*U15*0.001</f>
        <v>0</v>
      </c>
      <c r="M139" s="115">
        <f>M138*U15*0.001</f>
        <v>29.895964330627645</v>
      </c>
      <c r="O139" s="115">
        <f>O138*U15*0.001</f>
        <v>17.937578598376586</v>
      </c>
      <c r="Q139" s="115">
        <f>Q138*U15*0.001</f>
        <v>0</v>
      </c>
      <c r="S139" s="115">
        <f>S138*U15*0.001</f>
        <v>0</v>
      </c>
      <c r="U139" s="115">
        <f>U138*U15*0.001</f>
        <v>0</v>
      </c>
      <c r="W139" s="115">
        <f>W138*U15*0.001</f>
        <v>0</v>
      </c>
      <c r="Y139" s="115">
        <f>Y138*U15*0.001</f>
        <v>0</v>
      </c>
      <c r="AA139" s="115">
        <f>AA138*U15*0.001</f>
        <v>0</v>
      </c>
      <c r="AC139" s="115">
        <f>AC138*U15*0.001</f>
        <v>0</v>
      </c>
      <c r="AD139" s="115">
        <f>AD138*U15*0.001</f>
        <v>0</v>
      </c>
      <c r="AE139" s="403">
        <f t="shared" ref="AE139:AE141" si="33">SUM(I139:AD139)</f>
        <v>47.833542929004231</v>
      </c>
    </row>
    <row r="140" spans="1:32" outlineLevel="1">
      <c r="A140" t="s">
        <v>1047</v>
      </c>
      <c r="B140" t="s">
        <v>1291</v>
      </c>
      <c r="C140" t="s">
        <v>596</v>
      </c>
      <c r="D140" t="str">
        <f>VLOOKUP(C140,'Price Table 8 OHB'!A:B,2,FALSE)</f>
        <v>Propulsion - HW procurements</v>
      </c>
      <c r="E140" t="s">
        <v>793</v>
      </c>
      <c r="AE140" s="403">
        <f t="shared" si="33"/>
        <v>0</v>
      </c>
    </row>
    <row r="141" spans="1:32" outlineLevel="1">
      <c r="B141" t="s">
        <v>1291</v>
      </c>
      <c r="C141" t="s">
        <v>275</v>
      </c>
      <c r="D141" t="str">
        <f>VLOOKUP(C141,'Price Table 8 OHB'!A:B,2,FALSE)</f>
        <v>Propulsion - Engineering</v>
      </c>
      <c r="E141" t="s">
        <v>966</v>
      </c>
      <c r="AE141" s="403">
        <f t="shared" si="33"/>
        <v>0</v>
      </c>
    </row>
    <row r="142" spans="1:32" outlineLevel="1">
      <c r="E142" t="s">
        <v>794</v>
      </c>
      <c r="H142" s="118"/>
      <c r="I142" s="115">
        <f t="shared" ref="I142:AD142" si="34">I139+I140+I141</f>
        <v>0</v>
      </c>
      <c r="K142" s="115">
        <f t="shared" si="34"/>
        <v>0</v>
      </c>
      <c r="M142" s="115">
        <f>M139+M140+M141</f>
        <v>29.895964330627645</v>
      </c>
      <c r="O142" s="115">
        <f t="shared" si="34"/>
        <v>17.937578598376586</v>
      </c>
      <c r="Q142" s="115">
        <f t="shared" si="34"/>
        <v>0</v>
      </c>
      <c r="S142" s="115">
        <f t="shared" si="34"/>
        <v>0</v>
      </c>
      <c r="U142" s="115">
        <f t="shared" si="34"/>
        <v>0</v>
      </c>
      <c r="W142" s="115">
        <f t="shared" si="34"/>
        <v>0</v>
      </c>
      <c r="Y142" s="115">
        <f t="shared" si="34"/>
        <v>0</v>
      </c>
      <c r="AA142" s="115">
        <f t="shared" si="34"/>
        <v>0</v>
      </c>
      <c r="AC142" s="115">
        <f t="shared" si="34"/>
        <v>0</v>
      </c>
      <c r="AD142" s="115">
        <f t="shared" si="34"/>
        <v>0</v>
      </c>
      <c r="AE142" s="403">
        <f>SUM(I142:AD142)</f>
        <v>47.833542929004231</v>
      </c>
    </row>
    <row r="143" spans="1:32" outlineLevel="1">
      <c r="A143" s="90"/>
      <c r="B143" s="91"/>
      <c r="C143" s="90"/>
      <c r="D143" s="90"/>
      <c r="E143" s="90"/>
      <c r="F143" s="90"/>
      <c r="G143" s="90"/>
      <c r="H143" s="414"/>
      <c r="I143" s="414"/>
      <c r="J143" s="414"/>
      <c r="K143" s="414"/>
      <c r="L143" s="414"/>
      <c r="M143" s="414"/>
      <c r="N143" s="414"/>
      <c r="O143" s="414"/>
      <c r="P143" s="414"/>
      <c r="Q143" s="414"/>
      <c r="R143" s="414"/>
      <c r="S143" s="414"/>
      <c r="T143" s="414"/>
      <c r="U143" s="414"/>
      <c r="V143" s="414"/>
      <c r="W143" s="414"/>
      <c r="X143" s="414"/>
      <c r="Y143" s="414"/>
      <c r="Z143" s="414"/>
      <c r="AA143" s="414"/>
      <c r="AB143" s="414"/>
      <c r="AC143" s="414"/>
      <c r="AD143" s="414"/>
    </row>
    <row r="144" spans="1:32" outlineLevel="1">
      <c r="A144" t="s">
        <v>1049</v>
      </c>
      <c r="E144" t="s">
        <v>791</v>
      </c>
      <c r="O144" s="115">
        <v>120</v>
      </c>
      <c r="Q144" s="115">
        <v>120</v>
      </c>
    </row>
    <row r="145" spans="1:31" outlineLevel="1">
      <c r="A145" t="s">
        <v>1051</v>
      </c>
      <c r="B145" t="s">
        <v>1050</v>
      </c>
      <c r="C145" t="s">
        <v>275</v>
      </c>
      <c r="D145" t="str">
        <f>VLOOKUP(C145,'Price Table 8 OHB'!A:B,2,FALSE)</f>
        <v>Propulsion - Engineering</v>
      </c>
      <c r="E145" t="s">
        <v>792</v>
      </c>
      <c r="I145" s="115">
        <f>I144*U15*0.001</f>
        <v>0</v>
      </c>
      <c r="K145" s="115">
        <f>K144*U15*0.001</f>
        <v>0</v>
      </c>
      <c r="M145" s="115">
        <f>M144*U15*0.001</f>
        <v>0</v>
      </c>
      <c r="O145" s="115">
        <f>O144*U15*0.001</f>
        <v>11.958385732251058</v>
      </c>
      <c r="Q145" s="115">
        <f>Q144*U15*0.001</f>
        <v>11.958385732251058</v>
      </c>
      <c r="S145" s="115">
        <f>S144*U15*0.001</f>
        <v>0</v>
      </c>
      <c r="U145" s="115">
        <f>U144*U15*0.001</f>
        <v>0</v>
      </c>
      <c r="W145" s="115">
        <f>W144*U15*0.001</f>
        <v>0</v>
      </c>
      <c r="Y145" s="115">
        <f>Y144*U15*0.001</f>
        <v>0</v>
      </c>
      <c r="AA145" s="115">
        <f>AA144*U15*0.001</f>
        <v>0</v>
      </c>
      <c r="AC145" s="115">
        <f>AC144*U15*0.001</f>
        <v>0</v>
      </c>
      <c r="AD145" s="115">
        <f>AD144*U15*0.001</f>
        <v>0</v>
      </c>
      <c r="AE145" s="403">
        <f t="shared" ref="AE145:AE147" si="35">SUM(I145:AD145)</f>
        <v>23.916771464502116</v>
      </c>
    </row>
    <row r="146" spans="1:31" outlineLevel="1">
      <c r="A146" t="s">
        <v>1052</v>
      </c>
      <c r="B146" t="s">
        <v>1050</v>
      </c>
      <c r="C146" t="s">
        <v>596</v>
      </c>
      <c r="D146" t="str">
        <f>VLOOKUP(C146,'Price Table 8 OHB'!A:B,2,FALSE)</f>
        <v>Propulsion - HW procurements</v>
      </c>
      <c r="E146" t="s">
        <v>793</v>
      </c>
      <c r="AE146" s="403">
        <f t="shared" si="35"/>
        <v>0</v>
      </c>
    </row>
    <row r="147" spans="1:31" outlineLevel="1">
      <c r="B147" t="s">
        <v>1050</v>
      </c>
      <c r="C147" t="s">
        <v>275</v>
      </c>
      <c r="D147" t="str">
        <f>VLOOKUP(C147,'Price Table 8 OHB'!A:B,2,FALSE)</f>
        <v>Propulsion - Engineering</v>
      </c>
      <c r="E147" t="s">
        <v>1053</v>
      </c>
      <c r="AE147" s="403">
        <f t="shared" si="35"/>
        <v>0</v>
      </c>
    </row>
    <row r="148" spans="1:31" outlineLevel="1">
      <c r="E148" t="s">
        <v>794</v>
      </c>
      <c r="H148" s="118"/>
      <c r="I148" s="115">
        <f t="shared" ref="I148:AD148" si="36">I145+I146+I147</f>
        <v>0</v>
      </c>
      <c r="K148" s="115">
        <f t="shared" si="36"/>
        <v>0</v>
      </c>
      <c r="M148" s="115">
        <f>M145+M146+M147</f>
        <v>0</v>
      </c>
      <c r="O148" s="115">
        <f t="shared" si="36"/>
        <v>11.958385732251058</v>
      </c>
      <c r="Q148" s="115">
        <f t="shared" si="36"/>
        <v>11.958385732251058</v>
      </c>
      <c r="S148" s="115">
        <f t="shared" si="36"/>
        <v>0</v>
      </c>
      <c r="U148" s="115">
        <f t="shared" si="36"/>
        <v>0</v>
      </c>
      <c r="W148" s="115">
        <f t="shared" si="36"/>
        <v>0</v>
      </c>
      <c r="Y148" s="115">
        <f t="shared" si="36"/>
        <v>0</v>
      </c>
      <c r="AA148" s="115">
        <f t="shared" si="36"/>
        <v>0</v>
      </c>
      <c r="AC148" s="115">
        <f t="shared" si="36"/>
        <v>0</v>
      </c>
      <c r="AD148" s="115">
        <f t="shared" si="36"/>
        <v>0</v>
      </c>
      <c r="AE148" s="403">
        <f>SUM(I148:AD148)</f>
        <v>23.916771464502116</v>
      </c>
    </row>
    <row r="149" spans="1:31" outlineLevel="1">
      <c r="A149" s="90"/>
      <c r="B149" s="91"/>
      <c r="C149" s="90"/>
      <c r="D149" s="90"/>
      <c r="E149" s="90"/>
      <c r="F149" s="90"/>
      <c r="G149" s="90"/>
      <c r="H149" s="414"/>
      <c r="I149" s="414"/>
      <c r="J149" s="414"/>
      <c r="K149" s="414"/>
      <c r="L149" s="414"/>
      <c r="M149" s="414"/>
      <c r="N149" s="414"/>
      <c r="O149" s="414"/>
      <c r="P149" s="414"/>
      <c r="Q149" s="414"/>
      <c r="R149" s="414"/>
      <c r="S149" s="414"/>
      <c r="T149" s="414"/>
      <c r="U149" s="414"/>
      <c r="V149" s="414"/>
      <c r="W149" s="414"/>
      <c r="X149" s="414"/>
      <c r="Y149" s="414"/>
      <c r="Z149" s="414"/>
      <c r="AA149" s="414"/>
      <c r="AB149" s="414"/>
      <c r="AC149" s="414"/>
      <c r="AD149" s="414"/>
    </row>
    <row r="150" spans="1:31" outlineLevel="1">
      <c r="A150" t="s">
        <v>1055</v>
      </c>
      <c r="E150" t="s">
        <v>791</v>
      </c>
      <c r="M150" s="115">
        <v>480</v>
      </c>
      <c r="O150" s="115">
        <v>240</v>
      </c>
    </row>
    <row r="151" spans="1:31" outlineLevel="1">
      <c r="A151" t="s">
        <v>1056</v>
      </c>
      <c r="B151" t="s">
        <v>1056</v>
      </c>
      <c r="C151" t="s">
        <v>275</v>
      </c>
      <c r="D151" t="str">
        <f>VLOOKUP(C151,'Price Table 8 OHB'!A:B,2,FALSE)</f>
        <v>Propulsion - Engineering</v>
      </c>
      <c r="E151" t="s">
        <v>792</v>
      </c>
      <c r="I151" s="115">
        <f>I150*U15*0.001</f>
        <v>0</v>
      </c>
      <c r="K151" s="115">
        <f>K150*U15*0.001</f>
        <v>0</v>
      </c>
      <c r="M151" s="115">
        <f>M150*U15*0.001</f>
        <v>47.833542929004231</v>
      </c>
      <c r="O151" s="115">
        <f>O150*U15*0.001</f>
        <v>23.916771464502116</v>
      </c>
      <c r="Q151" s="115">
        <f>Q150*U15*0.001</f>
        <v>0</v>
      </c>
      <c r="S151" s="115">
        <f>S150*U15*0.001</f>
        <v>0</v>
      </c>
      <c r="U151" s="115">
        <f>U150*U15*0.001</f>
        <v>0</v>
      </c>
      <c r="W151" s="115">
        <f>W150*U15*0.001</f>
        <v>0</v>
      </c>
      <c r="Y151" s="115">
        <f>Y150*U15*0.001</f>
        <v>0</v>
      </c>
      <c r="AA151" s="115">
        <f>AA150*U15*0.001</f>
        <v>0</v>
      </c>
      <c r="AC151" s="115">
        <f>AC150*U15*0.001</f>
        <v>0</v>
      </c>
      <c r="AD151" s="115">
        <f>AD150*U15*0.001</f>
        <v>0</v>
      </c>
      <c r="AE151" s="403">
        <f t="shared" ref="AE151:AE153" si="37">SUM(I151:AD151)</f>
        <v>71.750314393506343</v>
      </c>
    </row>
    <row r="152" spans="1:31" outlineLevel="1">
      <c r="B152" t="s">
        <v>1056</v>
      </c>
      <c r="C152" t="s">
        <v>596</v>
      </c>
      <c r="D152" t="str">
        <f>VLOOKUP(C152,'Price Table 8 OHB'!A:B,2,FALSE)</f>
        <v>Propulsion - HW procurements</v>
      </c>
      <c r="E152" t="s">
        <v>793</v>
      </c>
      <c r="AE152" s="403">
        <f t="shared" si="37"/>
        <v>0</v>
      </c>
    </row>
    <row r="153" spans="1:31" outlineLevel="1">
      <c r="B153" t="s">
        <v>1056</v>
      </c>
      <c r="C153" t="s">
        <v>275</v>
      </c>
      <c r="D153" t="str">
        <f>VLOOKUP(C153,'Price Table 8 OHB'!A:B,2,FALSE)</f>
        <v>Propulsion - Engineering</v>
      </c>
      <c r="E153" t="s">
        <v>966</v>
      </c>
      <c r="AE153" s="403">
        <f t="shared" si="37"/>
        <v>0</v>
      </c>
    </row>
    <row r="154" spans="1:31" outlineLevel="1">
      <c r="E154" t="s">
        <v>794</v>
      </c>
      <c r="H154" s="118"/>
      <c r="I154" s="115">
        <f t="shared" ref="I154:AD154" si="38">I151+I152+I153</f>
        <v>0</v>
      </c>
      <c r="K154" s="115">
        <f t="shared" si="38"/>
        <v>0</v>
      </c>
      <c r="M154" s="115">
        <f>M151+M152+M153</f>
        <v>47.833542929004231</v>
      </c>
      <c r="O154" s="115">
        <f t="shared" si="38"/>
        <v>23.916771464502116</v>
      </c>
      <c r="Q154" s="115">
        <f t="shared" si="38"/>
        <v>0</v>
      </c>
      <c r="S154" s="115">
        <f t="shared" si="38"/>
        <v>0</v>
      </c>
      <c r="U154" s="115">
        <f t="shared" si="38"/>
        <v>0</v>
      </c>
      <c r="W154" s="115">
        <f t="shared" si="38"/>
        <v>0</v>
      </c>
      <c r="Y154" s="115">
        <f t="shared" si="38"/>
        <v>0</v>
      </c>
      <c r="AA154" s="115">
        <f t="shared" si="38"/>
        <v>0</v>
      </c>
      <c r="AC154" s="115">
        <f t="shared" si="38"/>
        <v>0</v>
      </c>
      <c r="AD154" s="115">
        <f t="shared" si="38"/>
        <v>0</v>
      </c>
      <c r="AE154" s="403">
        <f>SUM(I154:AD154)</f>
        <v>71.750314393506343</v>
      </c>
    </row>
    <row r="155" spans="1:31" outlineLevel="1">
      <c r="A155" s="90"/>
      <c r="B155" s="91"/>
      <c r="C155" s="90"/>
      <c r="D155" s="90"/>
      <c r="E155" s="90"/>
      <c r="F155" s="90"/>
      <c r="G155" s="90"/>
      <c r="H155" s="414"/>
      <c r="I155" s="414"/>
      <c r="J155" s="414"/>
      <c r="K155" s="414"/>
      <c r="L155" s="414"/>
      <c r="M155" s="414"/>
      <c r="N155" s="414"/>
      <c r="O155" s="414"/>
      <c r="P155" s="414"/>
      <c r="Q155" s="414"/>
      <c r="R155" s="414"/>
      <c r="S155" s="414"/>
      <c r="T155" s="414"/>
      <c r="U155" s="414"/>
      <c r="V155" s="414"/>
      <c r="W155" s="414"/>
      <c r="X155" s="414"/>
      <c r="Y155" s="414"/>
      <c r="Z155" s="414"/>
      <c r="AA155" s="414"/>
      <c r="AB155" s="414"/>
      <c r="AC155" s="414"/>
      <c r="AD155" s="414"/>
    </row>
    <row r="156" spans="1:31" outlineLevel="1">
      <c r="A156" t="s">
        <v>1058</v>
      </c>
      <c r="E156" t="s">
        <v>791</v>
      </c>
      <c r="Q156" s="115">
        <v>1560</v>
      </c>
    </row>
    <row r="157" spans="1:31" outlineLevel="1">
      <c r="A157">
        <v>470300</v>
      </c>
      <c r="B157" t="s">
        <v>1292</v>
      </c>
      <c r="C157" t="s">
        <v>275</v>
      </c>
      <c r="D157" t="str">
        <f>VLOOKUP(C157,'Price Table 8 OHB'!A:B,2,FALSE)</f>
        <v>Propulsion - Engineering</v>
      </c>
      <c r="E157" t="s">
        <v>792</v>
      </c>
      <c r="I157" s="115">
        <f>I156*U15*0.001</f>
        <v>0</v>
      </c>
      <c r="K157" s="115">
        <f>K156*U15*0.001</f>
        <v>0</v>
      </c>
      <c r="M157" s="115">
        <f>M156*U15*0.001</f>
        <v>0</v>
      </c>
      <c r="O157" s="115">
        <f>O156*U15*0.001</f>
        <v>0</v>
      </c>
      <c r="Q157" s="115">
        <f>Q156*U15*0.001</f>
        <v>155.45901451926375</v>
      </c>
      <c r="S157" s="115">
        <f>S156*U15*0.001</f>
        <v>0</v>
      </c>
      <c r="U157" s="115">
        <f>U156*U15*0.001</f>
        <v>0</v>
      </c>
      <c r="W157" s="115">
        <f>W156*U15*0.001</f>
        <v>0</v>
      </c>
      <c r="Y157" s="115">
        <f>Y156*U15*0.001</f>
        <v>0</v>
      </c>
      <c r="AA157" s="115">
        <f>AA156*U15*0.001</f>
        <v>0</v>
      </c>
      <c r="AC157" s="115">
        <f>AC156*U15*0.001</f>
        <v>0</v>
      </c>
      <c r="AD157" s="115">
        <f>AD156*U15*0.001</f>
        <v>0</v>
      </c>
      <c r="AE157" s="403">
        <f t="shared" ref="AE157:AE159" si="39">SUM(I157:AD157)</f>
        <v>155.45901451926375</v>
      </c>
    </row>
    <row r="158" spans="1:31" outlineLevel="1">
      <c r="A158">
        <v>470300</v>
      </c>
      <c r="B158" t="s">
        <v>1292</v>
      </c>
      <c r="C158" t="s">
        <v>596</v>
      </c>
      <c r="D158" t="str">
        <f>VLOOKUP(C158,'Price Table 8 OHB'!A:B,2,FALSE)</f>
        <v>Propulsion - HW procurements</v>
      </c>
      <c r="E158" t="s">
        <v>793</v>
      </c>
      <c r="Q158" s="115">
        <v>105</v>
      </c>
      <c r="AE158" s="403">
        <f t="shared" si="39"/>
        <v>105</v>
      </c>
    </row>
    <row r="159" spans="1:31" outlineLevel="1">
      <c r="A159">
        <v>470300</v>
      </c>
      <c r="B159" t="s">
        <v>1292</v>
      </c>
      <c r="C159" t="s">
        <v>275</v>
      </c>
      <c r="D159" t="str">
        <f>VLOOKUP(C159,'Price Table 8 OHB'!A:B,2,FALSE)</f>
        <v>Propulsion - Engineering</v>
      </c>
      <c r="E159" t="s">
        <v>966</v>
      </c>
      <c r="AE159" s="403">
        <f t="shared" si="39"/>
        <v>0</v>
      </c>
    </row>
    <row r="160" spans="1:31" outlineLevel="1">
      <c r="E160" t="s">
        <v>794</v>
      </c>
      <c r="H160" s="118"/>
      <c r="I160" s="115">
        <f>I157+I158+I159</f>
        <v>0</v>
      </c>
      <c r="K160" s="115">
        <f>K157+K158+K159</f>
        <v>0</v>
      </c>
      <c r="M160" s="115">
        <f>M157+M158+M159</f>
        <v>0</v>
      </c>
      <c r="O160" s="115">
        <f>O147+O158+O159</f>
        <v>0</v>
      </c>
      <c r="Q160" s="115">
        <f t="shared" ref="Q160:AD160" si="40">Q157+Q158+Q159</f>
        <v>260.45901451926375</v>
      </c>
      <c r="S160" s="115">
        <f t="shared" si="40"/>
        <v>0</v>
      </c>
      <c r="U160" s="115">
        <f t="shared" si="40"/>
        <v>0</v>
      </c>
      <c r="W160" s="115">
        <f t="shared" si="40"/>
        <v>0</v>
      </c>
      <c r="Y160" s="115">
        <f t="shared" si="40"/>
        <v>0</v>
      </c>
      <c r="AA160" s="115">
        <f t="shared" si="40"/>
        <v>0</v>
      </c>
      <c r="AC160" s="115">
        <f t="shared" si="40"/>
        <v>0</v>
      </c>
      <c r="AD160" s="115">
        <f t="shared" si="40"/>
        <v>0</v>
      </c>
      <c r="AE160" s="403">
        <f>SUM(I160:AD160)</f>
        <v>260.45901451926375</v>
      </c>
    </row>
    <row r="161" spans="1:31" outlineLevel="1">
      <c r="A161" s="90"/>
      <c r="B161" s="91"/>
      <c r="C161" s="90"/>
      <c r="D161" s="90"/>
      <c r="E161" s="90"/>
      <c r="F161" s="90"/>
      <c r="G161" s="90"/>
      <c r="H161" s="414"/>
      <c r="I161" s="414"/>
      <c r="J161" s="414"/>
      <c r="K161" s="414"/>
      <c r="L161" s="414"/>
      <c r="M161" s="414"/>
      <c r="N161" s="414"/>
      <c r="O161" s="414"/>
      <c r="P161" s="414"/>
      <c r="Q161" s="414"/>
      <c r="R161" s="414"/>
      <c r="S161" s="414"/>
      <c r="T161" s="414"/>
      <c r="U161" s="414"/>
      <c r="V161" s="414"/>
      <c r="W161" s="414"/>
      <c r="X161" s="414"/>
      <c r="Y161" s="414"/>
      <c r="Z161" s="414"/>
      <c r="AA161" s="414"/>
      <c r="AB161" s="414"/>
      <c r="AC161" s="414"/>
      <c r="AD161" s="414"/>
    </row>
    <row r="162" spans="1:31" outlineLevel="1">
      <c r="A162" t="s">
        <v>1063</v>
      </c>
      <c r="E162" t="s">
        <v>791</v>
      </c>
      <c r="Q162" s="115">
        <v>240</v>
      </c>
    </row>
    <row r="163" spans="1:31" outlineLevel="1">
      <c r="A163" t="s">
        <v>1065</v>
      </c>
      <c r="B163" t="s">
        <v>1065</v>
      </c>
      <c r="C163" t="s">
        <v>275</v>
      </c>
      <c r="D163" t="str">
        <f>VLOOKUP(C163,'Price Table 8 OHB'!A:B,2,FALSE)</f>
        <v>Propulsion - Engineering</v>
      </c>
      <c r="E163" t="s">
        <v>792</v>
      </c>
      <c r="I163" s="115">
        <f>I162*U15*0.001</f>
        <v>0</v>
      </c>
      <c r="K163" s="115">
        <f>K162*U15*0.001</f>
        <v>0</v>
      </c>
      <c r="M163" s="115">
        <f>M162*U15*0.001</f>
        <v>0</v>
      </c>
      <c r="O163" s="115">
        <f>O162*U15*0.001</f>
        <v>0</v>
      </c>
      <c r="Q163" s="115">
        <f>Q162*U15*0.001</f>
        <v>23.916771464502116</v>
      </c>
      <c r="S163" s="115">
        <f>S162*U15*0.001</f>
        <v>0</v>
      </c>
      <c r="U163" s="115">
        <f>U162*U15*0.001</f>
        <v>0</v>
      </c>
      <c r="W163" s="115">
        <f>W162*U15*0.001</f>
        <v>0</v>
      </c>
      <c r="Y163" s="115">
        <f>Y162*U15*0.001</f>
        <v>0</v>
      </c>
      <c r="AA163" s="115">
        <f>AA162*U15*0.001</f>
        <v>0</v>
      </c>
      <c r="AC163" s="115">
        <f>AC162*U15*0.001</f>
        <v>0</v>
      </c>
      <c r="AD163" s="115">
        <f>AD162*U15*0.001</f>
        <v>0</v>
      </c>
      <c r="AE163" s="403">
        <f t="shared" ref="AE163:AE165" si="41">SUM(I163:AD163)</f>
        <v>23.916771464502116</v>
      </c>
    </row>
    <row r="164" spans="1:31" outlineLevel="1">
      <c r="A164" t="s">
        <v>1066</v>
      </c>
      <c r="B164" t="s">
        <v>1066</v>
      </c>
      <c r="C164" t="s">
        <v>596</v>
      </c>
      <c r="D164" t="str">
        <f>VLOOKUP(C164,'Price Table 8 OHB'!A:B,2,FALSE)</f>
        <v>Propulsion - HW procurements</v>
      </c>
      <c r="E164" t="s">
        <v>793</v>
      </c>
      <c r="Q164" s="115">
        <v>10</v>
      </c>
      <c r="AE164" s="403">
        <f t="shared" si="41"/>
        <v>10</v>
      </c>
    </row>
    <row r="165" spans="1:31" outlineLevel="1">
      <c r="A165" t="s">
        <v>1067</v>
      </c>
      <c r="B165" t="s">
        <v>1067</v>
      </c>
      <c r="C165" t="s">
        <v>275</v>
      </c>
      <c r="D165" t="str">
        <f>VLOOKUP(C165,'Price Table 8 OHB'!A:B,2,FALSE)</f>
        <v>Propulsion - Engineering</v>
      </c>
      <c r="E165" t="s">
        <v>966</v>
      </c>
      <c r="AE165" s="403">
        <f t="shared" si="41"/>
        <v>0</v>
      </c>
    </row>
    <row r="166" spans="1:31" outlineLevel="1">
      <c r="E166" t="s">
        <v>794</v>
      </c>
      <c r="H166" s="118"/>
      <c r="I166" s="115">
        <f>I163+I164+I165</f>
        <v>0</v>
      </c>
      <c r="K166" s="115">
        <f>K163+K164+K165</f>
        <v>0</v>
      </c>
      <c r="M166" s="115">
        <f>M163+M164+M165</f>
        <v>0</v>
      </c>
      <c r="O166" s="115">
        <f t="shared" ref="O166:AD166" si="42">O163+O164+O165</f>
        <v>0</v>
      </c>
      <c r="Q166" s="115">
        <f t="shared" si="42"/>
        <v>33.916771464502119</v>
      </c>
      <c r="S166" s="115">
        <f t="shared" si="42"/>
        <v>0</v>
      </c>
      <c r="U166" s="115">
        <f t="shared" si="42"/>
        <v>0</v>
      </c>
      <c r="W166" s="115">
        <f t="shared" si="42"/>
        <v>0</v>
      </c>
      <c r="Y166" s="115">
        <f t="shared" si="42"/>
        <v>0</v>
      </c>
      <c r="AA166" s="115">
        <f t="shared" si="42"/>
        <v>0</v>
      </c>
      <c r="AC166" s="115">
        <f t="shared" si="42"/>
        <v>0</v>
      </c>
      <c r="AD166" s="115">
        <f t="shared" si="42"/>
        <v>0</v>
      </c>
      <c r="AE166" s="403">
        <f>SUM(I166:AD166)</f>
        <v>33.916771464502119</v>
      </c>
    </row>
    <row r="167" spans="1:31" outlineLevel="1">
      <c r="A167" s="90"/>
      <c r="B167" s="91"/>
      <c r="C167" s="90"/>
      <c r="D167" s="90"/>
      <c r="E167" s="90"/>
      <c r="F167" s="90"/>
      <c r="G167" s="90"/>
      <c r="H167" s="414"/>
      <c r="I167" s="414"/>
      <c r="J167" s="414"/>
      <c r="K167" s="414"/>
      <c r="L167" s="414"/>
      <c r="M167" s="414"/>
      <c r="N167" s="414"/>
      <c r="O167" s="414"/>
      <c r="P167" s="414"/>
      <c r="Q167" s="414"/>
      <c r="R167" s="414"/>
      <c r="S167" s="414"/>
      <c r="T167" s="414"/>
      <c r="U167" s="414"/>
      <c r="V167" s="414"/>
      <c r="W167" s="414"/>
      <c r="X167" s="414"/>
      <c r="Y167" s="414"/>
      <c r="Z167" s="414"/>
      <c r="AA167" s="414"/>
      <c r="AB167" s="414"/>
      <c r="AC167" s="414"/>
      <c r="AD167" s="414"/>
    </row>
    <row r="168" spans="1:31" outlineLevel="1">
      <c r="A168" t="s">
        <v>1069</v>
      </c>
      <c r="E168" t="s">
        <v>791</v>
      </c>
      <c r="Q168" s="115">
        <v>300</v>
      </c>
    </row>
    <row r="169" spans="1:31" outlineLevel="1">
      <c r="A169" t="s">
        <v>1070</v>
      </c>
      <c r="B169" t="s">
        <v>1070</v>
      </c>
      <c r="C169" t="s">
        <v>275</v>
      </c>
      <c r="D169" t="str">
        <f>VLOOKUP(C169,'Price Table 8 OHB'!A:B,2,FALSE)</f>
        <v>Propulsion - Engineering</v>
      </c>
      <c r="E169" t="s">
        <v>792</v>
      </c>
      <c r="I169" s="115">
        <f>I168*U15*0.001</f>
        <v>0</v>
      </c>
      <c r="K169" s="115">
        <f>K168*U15*0.001</f>
        <v>0</v>
      </c>
      <c r="M169" s="115">
        <f>M168*U15*0.001</f>
        <v>0</v>
      </c>
      <c r="O169" s="115">
        <f>O168*U15*0.001</f>
        <v>0</v>
      </c>
      <c r="Q169" s="115">
        <f>Q168*U15*0.001</f>
        <v>29.895964330627645</v>
      </c>
      <c r="S169" s="115">
        <f>S168*U15*0.001</f>
        <v>0</v>
      </c>
      <c r="U169" s="115">
        <f>U168*U15*0.001</f>
        <v>0</v>
      </c>
      <c r="W169" s="115">
        <f>W168*U15*0.001</f>
        <v>0</v>
      </c>
      <c r="Y169" s="115">
        <f>Y168*U15*0.001</f>
        <v>0</v>
      </c>
      <c r="AA169" s="115">
        <f>AA168*U15*0.001</f>
        <v>0</v>
      </c>
      <c r="AC169" s="115">
        <f>AC168*U15*0.001</f>
        <v>0</v>
      </c>
      <c r="AD169" s="115">
        <f>AD168*U15*0.001</f>
        <v>0</v>
      </c>
      <c r="AE169" s="403">
        <f t="shared" ref="AE169:AE171" si="43">SUM(I169:AD169)</f>
        <v>29.895964330627645</v>
      </c>
    </row>
    <row r="170" spans="1:31" outlineLevel="1">
      <c r="B170" t="s">
        <v>1070</v>
      </c>
      <c r="C170" t="s">
        <v>596</v>
      </c>
      <c r="D170" t="str">
        <f>VLOOKUP(C170,'Price Table 8 OHB'!A:B,2,FALSE)</f>
        <v>Propulsion - HW procurements</v>
      </c>
      <c r="E170" t="s">
        <v>793</v>
      </c>
      <c r="Q170" s="115">
        <v>10</v>
      </c>
      <c r="AE170" s="403">
        <f t="shared" si="43"/>
        <v>10</v>
      </c>
    </row>
    <row r="171" spans="1:31" outlineLevel="1">
      <c r="B171" t="s">
        <v>1070</v>
      </c>
      <c r="C171" t="s">
        <v>275</v>
      </c>
      <c r="D171" t="str">
        <f>VLOOKUP(C171,'Price Table 8 OHB'!A:B,2,FALSE)</f>
        <v>Propulsion - Engineering</v>
      </c>
      <c r="E171" t="s">
        <v>966</v>
      </c>
      <c r="AE171" s="403">
        <f t="shared" si="43"/>
        <v>0</v>
      </c>
    </row>
    <row r="172" spans="1:31" outlineLevel="1">
      <c r="E172" t="s">
        <v>794</v>
      </c>
      <c r="H172" s="118"/>
      <c r="I172" s="115">
        <f>I169+I170+I171</f>
        <v>0</v>
      </c>
      <c r="K172" s="115">
        <f>K169+K170+K171</f>
        <v>0</v>
      </c>
      <c r="M172" s="115">
        <f>M169+M170+M171</f>
        <v>0</v>
      </c>
      <c r="O172" s="115">
        <f t="shared" ref="O172:AD172" si="44">O169+O170+O171</f>
        <v>0</v>
      </c>
      <c r="Q172" s="115">
        <f t="shared" si="44"/>
        <v>39.895964330627649</v>
      </c>
      <c r="S172" s="115">
        <f t="shared" si="44"/>
        <v>0</v>
      </c>
      <c r="U172" s="115">
        <f t="shared" si="44"/>
        <v>0</v>
      </c>
      <c r="W172" s="115">
        <f t="shared" si="44"/>
        <v>0</v>
      </c>
      <c r="Y172" s="115">
        <f t="shared" si="44"/>
        <v>0</v>
      </c>
      <c r="AA172" s="115">
        <f t="shared" si="44"/>
        <v>0</v>
      </c>
      <c r="AC172" s="115">
        <f t="shared" si="44"/>
        <v>0</v>
      </c>
      <c r="AD172" s="115">
        <f t="shared" si="44"/>
        <v>0</v>
      </c>
      <c r="AE172" s="403">
        <f>SUM(I172:AD172)</f>
        <v>39.895964330627649</v>
      </c>
    </row>
    <row r="173" spans="1:31" outlineLevel="1">
      <c r="A173" s="90"/>
      <c r="B173" s="91"/>
      <c r="C173" s="90"/>
      <c r="D173" s="90"/>
      <c r="E173" s="90"/>
      <c r="F173" s="90"/>
      <c r="G173" s="90"/>
      <c r="H173" s="414"/>
      <c r="I173" s="414"/>
      <c r="J173" s="414"/>
      <c r="K173" s="414"/>
      <c r="L173" s="414"/>
      <c r="M173" s="414"/>
      <c r="N173" s="414"/>
      <c r="O173" s="414"/>
      <c r="P173" s="414"/>
      <c r="Q173" s="414"/>
      <c r="R173" s="414"/>
      <c r="S173" s="414"/>
      <c r="T173" s="414"/>
      <c r="U173" s="414"/>
      <c r="V173" s="414"/>
      <c r="W173" s="414"/>
      <c r="X173" s="414"/>
      <c r="Y173" s="414"/>
      <c r="Z173" s="414"/>
      <c r="AA173" s="414"/>
      <c r="AB173" s="414"/>
      <c r="AC173" s="414"/>
      <c r="AD173" s="414"/>
    </row>
    <row r="174" spans="1:31" outlineLevel="1">
      <c r="A174" t="s">
        <v>1072</v>
      </c>
      <c r="E174" t="s">
        <v>791</v>
      </c>
      <c r="Q174" s="115">
        <v>480</v>
      </c>
      <c r="S174" s="115">
        <v>480</v>
      </c>
    </row>
    <row r="175" spans="1:31" outlineLevel="1">
      <c r="A175" t="s">
        <v>1073</v>
      </c>
      <c r="B175" t="s">
        <v>1073</v>
      </c>
      <c r="C175" t="s">
        <v>275</v>
      </c>
      <c r="D175" t="str">
        <f>VLOOKUP(C175,'Price Table 8 OHB'!A:B,2,FALSE)</f>
        <v>Propulsion - Engineering</v>
      </c>
      <c r="E175" t="s">
        <v>792</v>
      </c>
      <c r="I175" s="115">
        <f>I174*U15*0.001</f>
        <v>0</v>
      </c>
      <c r="K175" s="115">
        <f>K174*U15*0.001</f>
        <v>0</v>
      </c>
      <c r="M175" s="115">
        <f>M174*U15*0.001</f>
        <v>0</v>
      </c>
      <c r="O175" s="115">
        <f>O174*U15*0.001</f>
        <v>0</v>
      </c>
      <c r="Q175" s="115">
        <f>Q174*U15*0.001</f>
        <v>47.833542929004231</v>
      </c>
      <c r="S175" s="115">
        <f>S174*U15*0.001</f>
        <v>47.833542929004231</v>
      </c>
      <c r="U175" s="115">
        <f>U174*U15*0.001</f>
        <v>0</v>
      </c>
      <c r="W175" s="115">
        <f>W174*U15*0.001</f>
        <v>0</v>
      </c>
      <c r="Y175" s="115">
        <f>Y174*U15*0.001</f>
        <v>0</v>
      </c>
      <c r="AA175" s="115">
        <f>AA174*U15*0.001</f>
        <v>0</v>
      </c>
      <c r="AC175" s="115">
        <f>AC174*U15*0.001</f>
        <v>0</v>
      </c>
      <c r="AD175" s="115">
        <f>AD174*U15*0.001</f>
        <v>0</v>
      </c>
      <c r="AE175" s="403">
        <f t="shared" ref="AE175:AE177" si="45">SUM(I175:AD175)</f>
        <v>95.667085858008463</v>
      </c>
    </row>
    <row r="176" spans="1:31" outlineLevel="1">
      <c r="A176" t="s">
        <v>1073</v>
      </c>
      <c r="B176" t="s">
        <v>1073</v>
      </c>
      <c r="C176" t="s">
        <v>596</v>
      </c>
      <c r="D176" t="str">
        <f>VLOOKUP(C176,'Price Table 8 OHB'!A:B,2,FALSE)</f>
        <v>Propulsion - HW procurements</v>
      </c>
      <c r="E176" t="s">
        <v>793</v>
      </c>
      <c r="AE176" s="403">
        <f t="shared" si="45"/>
        <v>0</v>
      </c>
    </row>
    <row r="177" spans="1:31" outlineLevel="1">
      <c r="A177" t="s">
        <v>1073</v>
      </c>
      <c r="B177" t="s">
        <v>1073</v>
      </c>
      <c r="C177" t="s">
        <v>275</v>
      </c>
      <c r="D177" t="str">
        <f>VLOOKUP(C177,'Price Table 8 OHB'!A:B,2,FALSE)</f>
        <v>Propulsion - Engineering</v>
      </c>
      <c r="E177" t="s">
        <v>966</v>
      </c>
      <c r="AE177" s="403">
        <f t="shared" si="45"/>
        <v>0</v>
      </c>
    </row>
    <row r="178" spans="1:31" outlineLevel="1">
      <c r="E178" t="s">
        <v>794</v>
      </c>
      <c r="H178" s="118"/>
      <c r="I178" s="115">
        <f>I175+I176+I177</f>
        <v>0</v>
      </c>
      <c r="K178" s="115">
        <f>K175+K176+K177</f>
        <v>0</v>
      </c>
      <c r="M178" s="115">
        <f>M175+M176+M177</f>
        <v>0</v>
      </c>
      <c r="O178" s="115">
        <f t="shared" ref="O178:AD178" si="46">O175+O176+O177</f>
        <v>0</v>
      </c>
      <c r="Q178" s="115">
        <f t="shared" si="46"/>
        <v>47.833542929004231</v>
      </c>
      <c r="S178" s="115">
        <f t="shared" si="46"/>
        <v>47.833542929004231</v>
      </c>
      <c r="U178" s="115">
        <f t="shared" si="46"/>
        <v>0</v>
      </c>
      <c r="W178" s="115">
        <f t="shared" si="46"/>
        <v>0</v>
      </c>
      <c r="Y178" s="115">
        <f t="shared" si="46"/>
        <v>0</v>
      </c>
      <c r="AA178" s="115">
        <f t="shared" si="46"/>
        <v>0</v>
      </c>
      <c r="AC178" s="115">
        <f t="shared" si="46"/>
        <v>0</v>
      </c>
      <c r="AD178" s="115">
        <f t="shared" si="46"/>
        <v>0</v>
      </c>
      <c r="AE178" s="403">
        <f>SUM(I178:AD178)</f>
        <v>95.667085858008463</v>
      </c>
    </row>
    <row r="179" spans="1:31" outlineLevel="1">
      <c r="A179" s="90"/>
      <c r="B179" s="91"/>
      <c r="C179" s="90"/>
      <c r="D179" s="90"/>
      <c r="E179" s="90"/>
      <c r="F179" s="90"/>
      <c r="G179" s="90"/>
      <c r="H179" s="414"/>
      <c r="I179" s="414"/>
      <c r="J179" s="414"/>
      <c r="K179" s="414"/>
      <c r="L179" s="414"/>
      <c r="M179" s="414"/>
      <c r="N179" s="414"/>
      <c r="O179" s="414"/>
      <c r="P179" s="414"/>
      <c r="Q179" s="414"/>
      <c r="R179" s="414"/>
      <c r="S179" s="414"/>
      <c r="T179" s="414"/>
      <c r="U179" s="414"/>
      <c r="V179" s="414"/>
      <c r="W179" s="414"/>
      <c r="X179" s="414"/>
      <c r="Y179" s="414"/>
      <c r="Z179" s="414"/>
      <c r="AA179" s="414"/>
      <c r="AB179" s="414"/>
      <c r="AC179" s="414"/>
      <c r="AD179" s="414"/>
    </row>
    <row r="180" spans="1:31" outlineLevel="1">
      <c r="A180" t="s">
        <v>1075</v>
      </c>
      <c r="E180" t="s">
        <v>791</v>
      </c>
      <c r="Q180" s="115">
        <v>180</v>
      </c>
    </row>
    <row r="181" spans="1:31" outlineLevel="1">
      <c r="A181" t="s">
        <v>1293</v>
      </c>
      <c r="B181" t="s">
        <v>1293</v>
      </c>
      <c r="C181" t="s">
        <v>275</v>
      </c>
      <c r="D181" t="str">
        <f>VLOOKUP(C181,'Price Table 8 OHB'!A:B,2,FALSE)</f>
        <v>Propulsion - Engineering</v>
      </c>
      <c r="E181" t="s">
        <v>792</v>
      </c>
      <c r="I181" s="115">
        <f>I180*U15*0.001</f>
        <v>0</v>
      </c>
      <c r="K181" s="115">
        <f>K180*U15*0.001</f>
        <v>0</v>
      </c>
      <c r="M181" s="115">
        <f>M180*U15*0.001</f>
        <v>0</v>
      </c>
      <c r="O181" s="115">
        <f>O180*U15*0.001</f>
        <v>0</v>
      </c>
      <c r="Q181" s="115">
        <f>Q180*U15*0.001</f>
        <v>17.937578598376586</v>
      </c>
      <c r="S181" s="115">
        <f>S180*U15*0.001</f>
        <v>0</v>
      </c>
      <c r="U181" s="115">
        <f>U180*U15*0.001</f>
        <v>0</v>
      </c>
      <c r="W181" s="115">
        <f>W180*U15*0.001</f>
        <v>0</v>
      </c>
      <c r="Y181" s="115">
        <f>Y180*U15*0.001</f>
        <v>0</v>
      </c>
      <c r="AA181" s="115">
        <f>AA180*U15*0.001</f>
        <v>0</v>
      </c>
      <c r="AC181" s="115">
        <f>AC180*U15*0.001</f>
        <v>0</v>
      </c>
      <c r="AD181" s="115">
        <f>AD180*U15*0.001</f>
        <v>0</v>
      </c>
      <c r="AE181" s="403">
        <f t="shared" ref="AE181:AE183" si="47">SUM(I181:AD181)</f>
        <v>17.937578598376586</v>
      </c>
    </row>
    <row r="182" spans="1:31" outlineLevel="1">
      <c r="A182" t="s">
        <v>1077</v>
      </c>
      <c r="B182" t="s">
        <v>1293</v>
      </c>
      <c r="C182" t="s">
        <v>596</v>
      </c>
      <c r="D182" t="str">
        <f>VLOOKUP(C182,'Price Table 8 OHB'!A:B,2,FALSE)</f>
        <v>Propulsion - HW procurements</v>
      </c>
      <c r="E182" t="s">
        <v>793</v>
      </c>
      <c r="AE182" s="403">
        <f t="shared" si="47"/>
        <v>0</v>
      </c>
    </row>
    <row r="183" spans="1:31" outlineLevel="1">
      <c r="B183" t="s">
        <v>1293</v>
      </c>
      <c r="C183" t="s">
        <v>275</v>
      </c>
      <c r="D183" t="str">
        <f>VLOOKUP(C183,'Price Table 8 OHB'!A:B,2,FALSE)</f>
        <v>Propulsion - Engineering</v>
      </c>
      <c r="E183" t="s">
        <v>966</v>
      </c>
      <c r="AE183" s="403">
        <f t="shared" si="47"/>
        <v>0</v>
      </c>
    </row>
    <row r="184" spans="1:31" outlineLevel="1">
      <c r="E184" t="s">
        <v>794</v>
      </c>
      <c r="H184" s="118"/>
      <c r="I184" s="115">
        <f>I181+I182+I183</f>
        <v>0</v>
      </c>
      <c r="K184" s="115">
        <f>K181+K182+K183</f>
        <v>0</v>
      </c>
      <c r="M184" s="115">
        <f>M181+M182+M183</f>
        <v>0</v>
      </c>
      <c r="O184" s="115">
        <f t="shared" ref="O184:AD184" si="48">O181+O182+O183</f>
        <v>0</v>
      </c>
      <c r="Q184" s="115">
        <f t="shared" si="48"/>
        <v>17.937578598376586</v>
      </c>
      <c r="S184" s="115">
        <f t="shared" si="48"/>
        <v>0</v>
      </c>
      <c r="U184" s="115">
        <f t="shared" si="48"/>
        <v>0</v>
      </c>
      <c r="W184" s="115">
        <f t="shared" si="48"/>
        <v>0</v>
      </c>
      <c r="Y184" s="115">
        <f t="shared" si="48"/>
        <v>0</v>
      </c>
      <c r="AA184" s="115">
        <f t="shared" si="48"/>
        <v>0</v>
      </c>
      <c r="AC184" s="115">
        <f t="shared" si="48"/>
        <v>0</v>
      </c>
      <c r="AD184" s="115">
        <f t="shared" si="48"/>
        <v>0</v>
      </c>
      <c r="AE184" s="403">
        <f>SUM(I184:AD184)</f>
        <v>17.937578598376586</v>
      </c>
    </row>
    <row r="185" spans="1:31" outlineLevel="1">
      <c r="A185" s="90"/>
      <c r="B185" s="91"/>
      <c r="C185" s="90"/>
      <c r="D185" s="90"/>
      <c r="E185" s="90"/>
      <c r="F185" s="90"/>
      <c r="G185" s="90"/>
      <c r="H185" s="414"/>
      <c r="I185" s="414"/>
      <c r="J185" s="414"/>
      <c r="K185" s="414"/>
      <c r="L185" s="414"/>
      <c r="M185" s="414"/>
      <c r="N185" s="414"/>
      <c r="O185" s="414"/>
      <c r="P185" s="414"/>
      <c r="Q185" s="414"/>
      <c r="R185" s="414"/>
      <c r="S185" s="414"/>
      <c r="T185" s="414"/>
      <c r="U185" s="414"/>
      <c r="V185" s="414"/>
      <c r="W185" s="414"/>
      <c r="X185" s="414"/>
      <c r="Y185" s="414"/>
      <c r="Z185" s="414"/>
      <c r="AA185" s="414"/>
      <c r="AB185" s="414"/>
      <c r="AC185" s="414"/>
      <c r="AD185" s="414"/>
    </row>
    <row r="186" spans="1:31" outlineLevel="1">
      <c r="A186" t="s">
        <v>1079</v>
      </c>
      <c r="E186" t="s">
        <v>791</v>
      </c>
      <c r="Q186" s="115">
        <v>240</v>
      </c>
    </row>
    <row r="187" spans="1:31" outlineLevel="1">
      <c r="A187" t="s">
        <v>1080</v>
      </c>
      <c r="B187" t="s">
        <v>1080</v>
      </c>
      <c r="C187" t="s">
        <v>275</v>
      </c>
      <c r="D187" t="str">
        <f>VLOOKUP(C187,'Price Table 8 OHB'!A:B,2,FALSE)</f>
        <v>Propulsion - Engineering</v>
      </c>
      <c r="E187" t="s">
        <v>792</v>
      </c>
      <c r="I187" s="115">
        <f>I186*U15*0.001</f>
        <v>0</v>
      </c>
      <c r="K187" s="115">
        <f>K186*U15*0.001</f>
        <v>0</v>
      </c>
      <c r="O187" s="115">
        <f>O186*U15*0.001</f>
        <v>0</v>
      </c>
      <c r="Q187" s="115">
        <f>Q186*U15*0.001</f>
        <v>23.916771464502116</v>
      </c>
      <c r="S187" s="115">
        <f>S186*U15*0.001</f>
        <v>0</v>
      </c>
      <c r="U187" s="115">
        <f>U186*U15*0.001</f>
        <v>0</v>
      </c>
      <c r="W187" s="115">
        <f>W186*U15*0.001</f>
        <v>0</v>
      </c>
      <c r="Y187" s="115">
        <f>Y186*U15*0.001</f>
        <v>0</v>
      </c>
      <c r="AA187" s="115">
        <f>AA186*U15*0.001</f>
        <v>0</v>
      </c>
      <c r="AC187" s="115">
        <f>AC186*U15*0.001</f>
        <v>0</v>
      </c>
      <c r="AD187" s="115">
        <f>AD186*U15*0.001</f>
        <v>0</v>
      </c>
      <c r="AE187" s="403">
        <f t="shared" ref="AE187:AE189" si="49">SUM(I187:AD187)</f>
        <v>23.916771464502116</v>
      </c>
    </row>
    <row r="188" spans="1:31" outlineLevel="1">
      <c r="A188" s="17"/>
      <c r="B188" t="s">
        <v>1080</v>
      </c>
      <c r="C188" t="s">
        <v>596</v>
      </c>
      <c r="D188" t="str">
        <f>VLOOKUP(C188,'Price Table 8 OHB'!A:B,2,FALSE)</f>
        <v>Propulsion - HW procurements</v>
      </c>
      <c r="E188" t="s">
        <v>793</v>
      </c>
      <c r="Q188" s="115">
        <v>10</v>
      </c>
      <c r="AE188" s="403">
        <f t="shared" si="49"/>
        <v>10</v>
      </c>
    </row>
    <row r="189" spans="1:31" outlineLevel="1">
      <c r="B189" t="s">
        <v>1080</v>
      </c>
      <c r="C189" t="s">
        <v>275</v>
      </c>
      <c r="D189" t="str">
        <f>VLOOKUP(C189,'Price Table 8 OHB'!A:B,2,FALSE)</f>
        <v>Propulsion - Engineering</v>
      </c>
      <c r="E189" t="s">
        <v>966</v>
      </c>
      <c r="AE189" s="403">
        <f t="shared" si="49"/>
        <v>0</v>
      </c>
    </row>
    <row r="190" spans="1:31" outlineLevel="1">
      <c r="E190" t="s">
        <v>794</v>
      </c>
      <c r="H190" s="118"/>
      <c r="I190" s="115">
        <f>I187+I188+I189</f>
        <v>0</v>
      </c>
      <c r="K190" s="115">
        <f>K187+K188+K189</f>
        <v>0</v>
      </c>
      <c r="O190" s="115">
        <f t="shared" ref="O190:AD190" si="50">O187+O188+O189</f>
        <v>0</v>
      </c>
      <c r="Q190" s="115">
        <f t="shared" si="50"/>
        <v>33.916771464502119</v>
      </c>
      <c r="S190" s="115">
        <f t="shared" si="50"/>
        <v>0</v>
      </c>
      <c r="U190" s="115">
        <f t="shared" si="50"/>
        <v>0</v>
      </c>
      <c r="W190" s="115">
        <f t="shared" si="50"/>
        <v>0</v>
      </c>
      <c r="Y190" s="115">
        <f t="shared" si="50"/>
        <v>0</v>
      </c>
      <c r="AA190" s="115">
        <f t="shared" si="50"/>
        <v>0</v>
      </c>
      <c r="AC190" s="115">
        <f t="shared" si="50"/>
        <v>0</v>
      </c>
      <c r="AD190" s="115">
        <f t="shared" si="50"/>
        <v>0</v>
      </c>
      <c r="AE190" s="403">
        <f>SUM(I190:AD190)</f>
        <v>33.916771464502119</v>
      </c>
    </row>
    <row r="191" spans="1:31" outlineLevel="1">
      <c r="A191" s="90"/>
      <c r="B191" s="91"/>
      <c r="C191" s="90"/>
      <c r="D191" s="90"/>
      <c r="E191" s="90"/>
      <c r="F191" s="90"/>
      <c r="G191" s="90"/>
      <c r="H191" s="414"/>
      <c r="I191" s="414"/>
      <c r="J191" s="414"/>
      <c r="K191" s="414"/>
      <c r="L191" s="414"/>
      <c r="M191" s="414"/>
      <c r="N191" s="414"/>
      <c r="O191" s="414"/>
      <c r="P191" s="414"/>
      <c r="Q191" s="414"/>
      <c r="R191" s="414"/>
      <c r="S191" s="414"/>
      <c r="T191" s="414"/>
      <c r="U191" s="414"/>
      <c r="V191" s="414"/>
      <c r="W191" s="414"/>
      <c r="X191" s="414"/>
      <c r="Y191" s="414"/>
      <c r="Z191" s="414"/>
      <c r="AA191" s="414"/>
      <c r="AB191" s="414"/>
      <c r="AC191" s="414"/>
      <c r="AD191" s="414"/>
    </row>
    <row r="192" spans="1:31" outlineLevel="1">
      <c r="A192" t="s">
        <v>1082</v>
      </c>
      <c r="E192" t="s">
        <v>791</v>
      </c>
      <c r="S192" s="115">
        <v>168</v>
      </c>
    </row>
    <row r="193" spans="1:31" outlineLevel="1">
      <c r="A193" t="s">
        <v>1083</v>
      </c>
      <c r="B193" t="s">
        <v>1083</v>
      </c>
      <c r="C193" t="s">
        <v>275</v>
      </c>
      <c r="D193" t="str">
        <f>VLOOKUP(C193,'Price Table 8 OHB'!A:B,2,FALSE)</f>
        <v>Propulsion - Engineering</v>
      </c>
      <c r="E193" t="s">
        <v>1084</v>
      </c>
      <c r="I193" s="115">
        <f>I192*U15*0.001</f>
        <v>0</v>
      </c>
      <c r="K193" s="115">
        <f>K192*U15*0.001</f>
        <v>0</v>
      </c>
      <c r="M193" s="115">
        <f>M192*U15*0.001</f>
        <v>0</v>
      </c>
      <c r="O193" s="115">
        <f>O192*U15*0.001</f>
        <v>0</v>
      </c>
      <c r="Q193" s="115">
        <f>Q192*U15*0.001</f>
        <v>0</v>
      </c>
      <c r="S193" s="115">
        <f>S192*U15*0.001</f>
        <v>16.741740025151483</v>
      </c>
      <c r="U193" s="115">
        <f>U192*U15*0.001</f>
        <v>0</v>
      </c>
      <c r="W193" s="115">
        <f>W192*U15*0.001</f>
        <v>0</v>
      </c>
      <c r="Y193" s="115">
        <f>Y192*U15*0.001</f>
        <v>0</v>
      </c>
      <c r="AA193" s="115">
        <f>AA192*U15*0.001</f>
        <v>0</v>
      </c>
      <c r="AC193" s="115">
        <f>AC192*U15*0.001</f>
        <v>0</v>
      </c>
      <c r="AD193" s="115">
        <f>AD192*U15*0.001</f>
        <v>0</v>
      </c>
      <c r="AE193" s="403">
        <f t="shared" ref="AE193:AE195" si="51">SUM(I193:AD193)</f>
        <v>16.741740025151483</v>
      </c>
    </row>
    <row r="194" spans="1:31" outlineLevel="1">
      <c r="B194" t="s">
        <v>1083</v>
      </c>
      <c r="C194" t="s">
        <v>596</v>
      </c>
      <c r="D194" t="str">
        <f>VLOOKUP(C194,'Price Table 8 OHB'!A:B,2,FALSE)</f>
        <v>Propulsion - HW procurements</v>
      </c>
      <c r="E194" t="s">
        <v>793</v>
      </c>
      <c r="AE194" s="403">
        <f t="shared" si="51"/>
        <v>0</v>
      </c>
    </row>
    <row r="195" spans="1:31" outlineLevel="1">
      <c r="B195" t="s">
        <v>1083</v>
      </c>
      <c r="C195" t="s">
        <v>275</v>
      </c>
      <c r="D195" t="str">
        <f>VLOOKUP(C195,'Price Table 8 OHB'!A:B,2,FALSE)</f>
        <v>Propulsion - Engineering</v>
      </c>
      <c r="E195" t="s">
        <v>966</v>
      </c>
      <c r="AE195" s="403">
        <f t="shared" si="51"/>
        <v>0</v>
      </c>
    </row>
    <row r="196" spans="1:31" outlineLevel="1">
      <c r="E196" t="s">
        <v>794</v>
      </c>
      <c r="H196" s="118"/>
      <c r="I196" s="115">
        <f>I193+I194+I195</f>
        <v>0</v>
      </c>
      <c r="K196" s="115">
        <f>K193+K194+K195</f>
        <v>0</v>
      </c>
      <c r="M196" s="115">
        <f>M193+M194+M195</f>
        <v>0</v>
      </c>
      <c r="O196" s="115">
        <f t="shared" ref="O196:AD196" si="52">O193+O194+O195</f>
        <v>0</v>
      </c>
      <c r="Q196" s="115">
        <f t="shared" si="52"/>
        <v>0</v>
      </c>
      <c r="S196" s="115">
        <f t="shared" si="52"/>
        <v>16.741740025151483</v>
      </c>
      <c r="U196" s="115">
        <f t="shared" si="52"/>
        <v>0</v>
      </c>
      <c r="W196" s="115">
        <f t="shared" si="52"/>
        <v>0</v>
      </c>
      <c r="Y196" s="115">
        <f t="shared" si="52"/>
        <v>0</v>
      </c>
      <c r="AA196" s="115">
        <f t="shared" si="52"/>
        <v>0</v>
      </c>
      <c r="AC196" s="115">
        <f t="shared" si="52"/>
        <v>0</v>
      </c>
      <c r="AD196" s="115">
        <f t="shared" si="52"/>
        <v>0</v>
      </c>
      <c r="AE196" s="403">
        <f>SUM(I196:AD196)</f>
        <v>16.741740025151483</v>
      </c>
    </row>
    <row r="197" spans="1:31" outlineLevel="1">
      <c r="A197" s="90"/>
      <c r="B197" s="91"/>
      <c r="C197" s="90"/>
      <c r="D197" s="90"/>
      <c r="E197" s="90"/>
      <c r="F197" s="90"/>
      <c r="G197" s="90"/>
      <c r="H197" s="414"/>
      <c r="I197" s="414"/>
      <c r="J197" s="414"/>
      <c r="K197" s="414"/>
      <c r="L197" s="414"/>
      <c r="M197" s="414"/>
      <c r="N197" s="414"/>
      <c r="O197" s="414"/>
      <c r="P197" s="414"/>
      <c r="Q197" s="414"/>
      <c r="R197" s="414"/>
      <c r="S197" s="414"/>
      <c r="T197" s="414"/>
      <c r="U197" s="414"/>
      <c r="V197" s="414"/>
      <c r="W197" s="414"/>
      <c r="X197" s="414"/>
      <c r="Y197" s="414"/>
      <c r="Z197" s="414"/>
      <c r="AA197" s="414"/>
      <c r="AB197" s="414"/>
      <c r="AC197" s="414"/>
      <c r="AD197" s="414"/>
    </row>
    <row r="198" spans="1:31" outlineLevel="1">
      <c r="A198" t="s">
        <v>1086</v>
      </c>
      <c r="E198" t="s">
        <v>791</v>
      </c>
      <c r="W198" s="115">
        <v>180</v>
      </c>
    </row>
    <row r="199" spans="1:31" outlineLevel="1">
      <c r="A199" t="s">
        <v>290</v>
      </c>
      <c r="B199" t="s">
        <v>290</v>
      </c>
      <c r="C199" t="s">
        <v>275</v>
      </c>
      <c r="D199" t="str">
        <f>VLOOKUP(C199,'Price Table 8 OHB'!A:B,2,FALSE)</f>
        <v>Propulsion - Engineering</v>
      </c>
      <c r="E199" t="s">
        <v>1084</v>
      </c>
      <c r="I199" s="115">
        <f>I198*U15*0.001</f>
        <v>0</v>
      </c>
      <c r="K199" s="115">
        <f>K198*U15*0.001</f>
        <v>0</v>
      </c>
      <c r="M199" s="115">
        <f>M198*U15*0.001</f>
        <v>0</v>
      </c>
      <c r="O199" s="115">
        <f>O198*U15*0.001</f>
        <v>0</v>
      </c>
      <c r="Q199" s="115">
        <f>Q198*U15*0.001</f>
        <v>0</v>
      </c>
      <c r="S199" s="115">
        <f>S198*U15*0.001</f>
        <v>0</v>
      </c>
      <c r="U199" s="115">
        <f>U198*U15*0.001</f>
        <v>0</v>
      </c>
      <c r="W199" s="115">
        <f>W198*U15*0.001</f>
        <v>17.937578598376586</v>
      </c>
      <c r="Y199" s="115">
        <f>Y198*U15*0.001</f>
        <v>0</v>
      </c>
      <c r="AA199" s="115">
        <f>AA198*U15*0.001</f>
        <v>0</v>
      </c>
      <c r="AC199" s="115">
        <f>AC198*U15*0.001</f>
        <v>0</v>
      </c>
      <c r="AD199" s="115">
        <f>AD198*U15*0.001</f>
        <v>0</v>
      </c>
      <c r="AE199" s="403">
        <f t="shared" ref="AE199:AE201" si="53">SUM(I199:AD199)</f>
        <v>17.937578598376586</v>
      </c>
    </row>
    <row r="200" spans="1:31" outlineLevel="1">
      <c r="B200" t="s">
        <v>290</v>
      </c>
      <c r="C200" t="s">
        <v>596</v>
      </c>
      <c r="D200" t="str">
        <f>VLOOKUP(C200,'Price Table 8 OHB'!A:B,2,FALSE)</f>
        <v>Propulsion - HW procurements</v>
      </c>
      <c r="E200" t="s">
        <v>793</v>
      </c>
      <c r="AE200" s="403">
        <f t="shared" si="53"/>
        <v>0</v>
      </c>
    </row>
    <row r="201" spans="1:31" outlineLevel="1">
      <c r="B201" t="s">
        <v>290</v>
      </c>
      <c r="C201" t="s">
        <v>275</v>
      </c>
      <c r="D201" t="str">
        <f>VLOOKUP(C201,'Price Table 8 OHB'!A:B,2,FALSE)</f>
        <v>Propulsion - Engineering</v>
      </c>
      <c r="E201" t="s">
        <v>966</v>
      </c>
      <c r="AE201" s="403">
        <f t="shared" si="53"/>
        <v>0</v>
      </c>
    </row>
    <row r="202" spans="1:31" outlineLevel="1">
      <c r="E202" t="s">
        <v>794</v>
      </c>
      <c r="H202" s="118"/>
      <c r="I202" s="115">
        <f>I199+I200+I201</f>
        <v>0</v>
      </c>
      <c r="K202" s="115">
        <f>K199+K200+K201</f>
        <v>0</v>
      </c>
      <c r="M202" s="115">
        <f t="shared" ref="M202:AD202" si="54">M199+M200+M201</f>
        <v>0</v>
      </c>
      <c r="O202" s="115">
        <f t="shared" si="54"/>
        <v>0</v>
      </c>
      <c r="Q202" s="115">
        <f t="shared" si="54"/>
        <v>0</v>
      </c>
      <c r="S202" s="115">
        <f t="shared" si="54"/>
        <v>0</v>
      </c>
      <c r="U202" s="115">
        <f t="shared" si="54"/>
        <v>0</v>
      </c>
      <c r="W202" s="115">
        <f t="shared" si="54"/>
        <v>17.937578598376586</v>
      </c>
      <c r="Y202" s="115">
        <f t="shared" si="54"/>
        <v>0</v>
      </c>
      <c r="AA202" s="115">
        <f t="shared" si="54"/>
        <v>0</v>
      </c>
      <c r="AC202" s="115">
        <f t="shared" si="54"/>
        <v>0</v>
      </c>
      <c r="AD202" s="115">
        <f t="shared" si="54"/>
        <v>0</v>
      </c>
      <c r="AE202" s="403">
        <f>SUM(I202:AD202)</f>
        <v>17.937578598376586</v>
      </c>
    </row>
    <row r="203" spans="1:31" outlineLevel="1">
      <c r="A203" s="90"/>
      <c r="B203" s="91"/>
      <c r="C203" s="90"/>
      <c r="D203" s="90"/>
      <c r="E203" s="90"/>
      <c r="F203" s="90"/>
      <c r="G203" s="90"/>
      <c r="H203" s="414"/>
      <c r="I203" s="414"/>
      <c r="J203" s="414"/>
      <c r="K203" s="414"/>
      <c r="L203" s="414"/>
      <c r="M203" s="414"/>
      <c r="N203" s="414"/>
      <c r="O203" s="414"/>
      <c r="P203" s="414"/>
      <c r="Q203" s="414"/>
      <c r="R203" s="414"/>
      <c r="S203" s="414"/>
      <c r="T203" s="414"/>
      <c r="U203" s="414"/>
      <c r="V203" s="414"/>
      <c r="W203" s="414"/>
      <c r="X203" s="414"/>
      <c r="Y203" s="414"/>
      <c r="Z203" s="414"/>
      <c r="AA203" s="414"/>
      <c r="AB203" s="414"/>
      <c r="AC203" s="414"/>
      <c r="AD203" s="414"/>
    </row>
    <row r="204" spans="1:31" outlineLevel="1">
      <c r="A204" t="s">
        <v>1088</v>
      </c>
      <c r="E204" t="s">
        <v>791</v>
      </c>
      <c r="Q204" s="115">
        <v>540</v>
      </c>
      <c r="S204" s="115">
        <v>540</v>
      </c>
    </row>
    <row r="205" spans="1:31" outlineLevel="1">
      <c r="A205">
        <v>470550</v>
      </c>
      <c r="B205" t="s">
        <v>1089</v>
      </c>
      <c r="C205" t="s">
        <v>275</v>
      </c>
      <c r="D205" t="str">
        <f>VLOOKUP(C205,'Price Table 8 OHB'!A:B,2,FALSE)</f>
        <v>Propulsion - Engineering</v>
      </c>
      <c r="E205" t="s">
        <v>1084</v>
      </c>
      <c r="I205" s="115">
        <f>I204*U15*0.001</f>
        <v>0</v>
      </c>
      <c r="K205" s="115">
        <f>K204*U15*0.001</f>
        <v>0</v>
      </c>
      <c r="M205" s="115">
        <f>M204*U15*0.001</f>
        <v>0</v>
      </c>
      <c r="O205" s="115">
        <f>O204*U15*0.001</f>
        <v>0</v>
      </c>
      <c r="Q205" s="115">
        <f>Q204*U15*0.001</f>
        <v>53.812735795129761</v>
      </c>
      <c r="S205" s="115">
        <f>S204*U15*0.001</f>
        <v>53.812735795129761</v>
      </c>
      <c r="U205" s="115">
        <f>U204*U15*0.001</f>
        <v>0</v>
      </c>
      <c r="W205" s="115">
        <f>W204*U15*0.001</f>
        <v>0</v>
      </c>
      <c r="Y205" s="115">
        <f>Y204*U15*0.001</f>
        <v>0</v>
      </c>
      <c r="AA205" s="115">
        <f>AA204*U15*0.001</f>
        <v>0</v>
      </c>
      <c r="AC205" s="115">
        <f>AC204*U15*0.001</f>
        <v>0</v>
      </c>
      <c r="AD205" s="115">
        <f>AD204*U15*0.001</f>
        <v>0</v>
      </c>
      <c r="AE205" s="403">
        <f t="shared" ref="AE205:AE207" si="55">SUM(I205:AD205)</f>
        <v>107.62547159025952</v>
      </c>
    </row>
    <row r="206" spans="1:31" outlineLevel="1">
      <c r="A206">
        <v>470550</v>
      </c>
      <c r="B206" t="s">
        <v>1089</v>
      </c>
      <c r="C206" t="s">
        <v>596</v>
      </c>
      <c r="D206" t="str">
        <f>VLOOKUP(C206,'Price Table 8 OHB'!A:B,2,FALSE)</f>
        <v>Propulsion - HW procurements</v>
      </c>
      <c r="E206" t="s">
        <v>793</v>
      </c>
      <c r="Q206" s="115">
        <v>118</v>
      </c>
      <c r="AE206" s="403">
        <f t="shared" si="55"/>
        <v>118</v>
      </c>
    </row>
    <row r="207" spans="1:31" outlineLevel="1">
      <c r="A207">
        <v>470550</v>
      </c>
      <c r="B207" t="s">
        <v>1089</v>
      </c>
      <c r="C207" t="s">
        <v>275</v>
      </c>
      <c r="D207" t="str">
        <f>VLOOKUP(C207,'Price Table 8 OHB'!A:B,2,FALSE)</f>
        <v>Propulsion - Engineering</v>
      </c>
      <c r="E207" t="s">
        <v>966</v>
      </c>
      <c r="AE207" s="403">
        <f t="shared" si="55"/>
        <v>0</v>
      </c>
    </row>
    <row r="208" spans="1:31" outlineLevel="1">
      <c r="E208" t="s">
        <v>794</v>
      </c>
      <c r="H208" s="118"/>
      <c r="I208" s="115">
        <f>I205+I206+I207</f>
        <v>0</v>
      </c>
      <c r="K208" s="115">
        <f>K205+K206+K207</f>
        <v>0</v>
      </c>
      <c r="M208" s="115">
        <f t="shared" ref="M208:AD208" si="56">M205+M206+M207</f>
        <v>0</v>
      </c>
      <c r="O208" s="115">
        <f t="shared" si="56"/>
        <v>0</v>
      </c>
      <c r="Q208" s="115">
        <f t="shared" si="56"/>
        <v>171.81273579512975</v>
      </c>
      <c r="S208" s="115">
        <f t="shared" si="56"/>
        <v>53.812735795129761</v>
      </c>
      <c r="U208" s="115">
        <f t="shared" si="56"/>
        <v>0</v>
      </c>
      <c r="W208" s="115">
        <f t="shared" si="56"/>
        <v>0</v>
      </c>
      <c r="Y208" s="115">
        <f t="shared" si="56"/>
        <v>0</v>
      </c>
      <c r="AA208" s="115">
        <f t="shared" si="56"/>
        <v>0</v>
      </c>
      <c r="AC208" s="115">
        <f t="shared" si="56"/>
        <v>0</v>
      </c>
      <c r="AD208" s="115">
        <f t="shared" si="56"/>
        <v>0</v>
      </c>
      <c r="AE208" s="403">
        <f>SUM(I208:AD208)</f>
        <v>225.62547159025951</v>
      </c>
    </row>
    <row r="209" spans="1:32" outlineLevel="1">
      <c r="A209" s="90"/>
      <c r="B209" s="91"/>
      <c r="C209" s="90"/>
      <c r="D209" s="90"/>
      <c r="E209" s="90"/>
      <c r="F209" s="90"/>
      <c r="G209" s="90"/>
      <c r="H209" s="414"/>
      <c r="I209" s="414"/>
      <c r="J209" s="414"/>
      <c r="K209" s="414"/>
      <c r="L209" s="414"/>
      <c r="M209" s="414"/>
      <c r="N209" s="414"/>
      <c r="O209" s="414"/>
      <c r="P209" s="414"/>
      <c r="Q209" s="414"/>
      <c r="R209" s="414"/>
      <c r="S209" s="414"/>
      <c r="T209" s="414"/>
      <c r="U209" s="414"/>
      <c r="V209" s="414"/>
      <c r="W209" s="414"/>
      <c r="X209" s="414"/>
      <c r="Y209" s="414"/>
      <c r="Z209" s="414"/>
      <c r="AA209" s="414"/>
      <c r="AB209" s="414"/>
      <c r="AC209" s="414"/>
      <c r="AD209" s="414"/>
    </row>
    <row r="210" spans="1:32" outlineLevel="1">
      <c r="A210" t="s">
        <v>1093</v>
      </c>
      <c r="E210" t="s">
        <v>791</v>
      </c>
      <c r="K210" s="115">
        <v>600</v>
      </c>
      <c r="M210" s="115">
        <v>480</v>
      </c>
      <c r="O210" s="115">
        <v>480</v>
      </c>
      <c r="Q210" s="115">
        <v>550</v>
      </c>
      <c r="S210" s="115">
        <v>50</v>
      </c>
    </row>
    <row r="211" spans="1:32" outlineLevel="1">
      <c r="A211" t="s">
        <v>1094</v>
      </c>
      <c r="B211" t="s">
        <v>1094</v>
      </c>
      <c r="C211" t="s">
        <v>275</v>
      </c>
      <c r="D211" t="str">
        <f>VLOOKUP(C211,'Price Table 8 OHB'!A:B,2,FALSE)</f>
        <v>Propulsion - Engineering</v>
      </c>
      <c r="E211" t="s">
        <v>792</v>
      </c>
      <c r="I211" s="115">
        <f>I210*U15*0.001</f>
        <v>0</v>
      </c>
      <c r="K211" s="115">
        <f>K210*U15*0.001</f>
        <v>59.791928661255291</v>
      </c>
      <c r="M211" s="115">
        <f>M210*U15*0.001</f>
        <v>47.833542929004231</v>
      </c>
      <c r="O211" s="115">
        <f>O210*U15*0.001</f>
        <v>47.833542929004231</v>
      </c>
      <c r="Q211" s="115">
        <f>Q210*U15*0.001</f>
        <v>54.809267939484016</v>
      </c>
      <c r="S211" s="115">
        <f>S210*U15*0.001</f>
        <v>4.9826607217712748</v>
      </c>
      <c r="U211" s="115">
        <f>U210*U15*0.001</f>
        <v>0</v>
      </c>
      <c r="W211" s="115">
        <f>W210*U15*0.001</f>
        <v>0</v>
      </c>
      <c r="Y211" s="115">
        <f>Y210*U15*0.001</f>
        <v>0</v>
      </c>
      <c r="AA211" s="115">
        <f>AA210*U15*0.001</f>
        <v>0</v>
      </c>
      <c r="AC211" s="115">
        <f>AC210*U15*0.001</f>
        <v>0</v>
      </c>
      <c r="AD211" s="115">
        <f>AD210*U15*0.001</f>
        <v>0</v>
      </c>
      <c r="AE211" s="403">
        <f t="shared" ref="AE211:AE213" si="57">SUM(I211:AD211)</f>
        <v>215.25094318051904</v>
      </c>
    </row>
    <row r="212" spans="1:32" outlineLevel="1">
      <c r="B212" t="s">
        <v>1094</v>
      </c>
      <c r="C212" t="s">
        <v>596</v>
      </c>
      <c r="D212" t="str">
        <f>VLOOKUP(C212,'Price Table 8 OHB'!A:B,2,FALSE)</f>
        <v>Propulsion - HW procurements</v>
      </c>
      <c r="E212" t="s">
        <v>793</v>
      </c>
      <c r="K212" s="115">
        <f>K372+K379+K384+K393+K402+K408</f>
        <v>252.5</v>
      </c>
      <c r="M212" s="115">
        <f>M372+M379+M384+M393+M402+M408</f>
        <v>536</v>
      </c>
      <c r="O212" s="115">
        <f>O372+O379+O384+O393+O402+O408</f>
        <v>712.7</v>
      </c>
      <c r="Q212" s="115">
        <f>Q372+Q379+Q384+Q393+Q402+Q408</f>
        <v>720.8</v>
      </c>
      <c r="S212" s="115">
        <f>S372+S379+S384+S393+S403+S408</f>
        <v>217.60000000000002</v>
      </c>
      <c r="AE212" s="403">
        <f t="shared" si="57"/>
        <v>2439.6</v>
      </c>
    </row>
    <row r="213" spans="1:32" outlineLevel="1">
      <c r="B213" t="s">
        <v>1094</v>
      </c>
      <c r="C213" t="s">
        <v>275</v>
      </c>
      <c r="D213" t="str">
        <f>VLOOKUP(C213,'Price Table 8 OHB'!A:B,2,FALSE)</f>
        <v>Propulsion - Engineering</v>
      </c>
      <c r="E213" t="s">
        <v>966</v>
      </c>
      <c r="K213" s="115">
        <v>12</v>
      </c>
      <c r="M213" s="115">
        <v>12</v>
      </c>
      <c r="O213" s="115">
        <v>12</v>
      </c>
      <c r="Q213" s="115">
        <v>12</v>
      </c>
      <c r="S213" s="115">
        <v>4</v>
      </c>
      <c r="AE213" s="403">
        <f t="shared" si="57"/>
        <v>52</v>
      </c>
    </row>
    <row r="214" spans="1:32" outlineLevel="1">
      <c r="E214" t="s">
        <v>794</v>
      </c>
      <c r="H214" s="118"/>
      <c r="I214" s="115">
        <f>I211+I212+I213</f>
        <v>0</v>
      </c>
      <c r="K214" s="115">
        <f>K211+K212+K213</f>
        <v>324.29192866125527</v>
      </c>
      <c r="M214" s="115">
        <f t="shared" ref="M214:AD214" si="58">M211+M212+M213</f>
        <v>595.83354292900424</v>
      </c>
      <c r="O214" s="115">
        <f t="shared" si="58"/>
        <v>772.53354292900428</v>
      </c>
      <c r="Q214" s="115">
        <f t="shared" si="58"/>
        <v>787.60926793948397</v>
      </c>
      <c r="S214" s="115">
        <f t="shared" si="58"/>
        <v>226.5826607217713</v>
      </c>
      <c r="U214" s="115">
        <f t="shared" si="58"/>
        <v>0</v>
      </c>
      <c r="W214" s="115">
        <f t="shared" si="58"/>
        <v>0</v>
      </c>
      <c r="Y214" s="115">
        <f t="shared" si="58"/>
        <v>0</v>
      </c>
      <c r="AA214" s="115">
        <f t="shared" si="58"/>
        <v>0</v>
      </c>
      <c r="AC214" s="115">
        <f t="shared" si="58"/>
        <v>0</v>
      </c>
      <c r="AD214" s="115">
        <f t="shared" si="58"/>
        <v>0</v>
      </c>
      <c r="AE214" s="403">
        <f>SUM(I214:AD214)</f>
        <v>2706.8509431805192</v>
      </c>
    </row>
    <row r="215" spans="1:32" s="16" customFormat="1">
      <c r="A215" s="72"/>
      <c r="B215" s="107"/>
      <c r="C215" s="72"/>
      <c r="D215" s="72"/>
      <c r="E215" s="72"/>
      <c r="F215" s="72"/>
      <c r="G215" s="72"/>
      <c r="H215" s="418"/>
      <c r="I215" s="419"/>
      <c r="J215" s="419"/>
      <c r="K215" s="419"/>
      <c r="L215" s="419"/>
      <c r="M215" s="419"/>
      <c r="N215" s="419"/>
      <c r="O215" s="419"/>
      <c r="P215" s="419"/>
      <c r="Q215" s="419"/>
      <c r="R215" s="419"/>
      <c r="S215" s="419"/>
      <c r="T215" s="419"/>
      <c r="U215" s="419"/>
      <c r="V215" s="419"/>
      <c r="W215" s="419"/>
      <c r="X215" s="419"/>
      <c r="Y215" s="419"/>
      <c r="Z215" s="419"/>
      <c r="AA215" s="419"/>
      <c r="AB215" s="419"/>
      <c r="AC215" s="419"/>
      <c r="AD215" s="419"/>
      <c r="AE215" s="402"/>
      <c r="AF215" s="390"/>
    </row>
    <row r="216" spans="1:32">
      <c r="A216" s="73" t="s">
        <v>1095</v>
      </c>
      <c r="B216" s="70"/>
      <c r="C216" s="73"/>
      <c r="D216" s="73"/>
      <c r="E216" s="73" t="s">
        <v>791</v>
      </c>
      <c r="F216" s="73"/>
      <c r="G216" s="73"/>
      <c r="H216" s="408"/>
      <c r="I216" s="407">
        <f>I132+I138+I144+I150+I156+I162+I168+I174+I180+I186+I192+I198+I204+I210</f>
        <v>0</v>
      </c>
      <c r="J216" s="407"/>
      <c r="K216" s="407">
        <f>K132+K138+K144+K150+K156+K162+K168+K174+K180+K186+K192+K198+K204+K210</f>
        <v>1080</v>
      </c>
      <c r="L216" s="407"/>
      <c r="M216" s="407">
        <f t="shared" ref="M216:W216" si="59">M132+M138+M144+M150+M156+M162+M168+M174+M180+M186+M192+M198+M204+M210</f>
        <v>1620</v>
      </c>
      <c r="N216" s="407"/>
      <c r="O216" s="407">
        <f t="shared" si="59"/>
        <v>1380</v>
      </c>
      <c r="P216" s="407"/>
      <c r="Q216" s="407">
        <f t="shared" si="59"/>
        <v>4210</v>
      </c>
      <c r="R216" s="407"/>
      <c r="S216" s="407">
        <f t="shared" si="59"/>
        <v>1238</v>
      </c>
      <c r="T216" s="407"/>
      <c r="U216" s="407">
        <f t="shared" si="59"/>
        <v>0</v>
      </c>
      <c r="V216" s="407"/>
      <c r="W216" s="407">
        <f t="shared" si="59"/>
        <v>180</v>
      </c>
      <c r="X216" s="407"/>
      <c r="Y216" s="407">
        <f>Y132+Y138+Y144+Y150+Y156+Y162+Y168+Y174+Y180+Y186+Y192+Y198+Y204+Y210</f>
        <v>0</v>
      </c>
      <c r="Z216" s="407"/>
      <c r="AA216" s="407">
        <f>AA132+AA138+AA144+AA150+AA156+AA162+AA168+AA174+AA180+AA186+AA192+AA198+AA204+AA210</f>
        <v>0</v>
      </c>
      <c r="AB216" s="407"/>
      <c r="AC216" s="407">
        <f>AC132+AC138+AC144+AC150+AC156+AC162+AC168+AC174+AC180+AC186+AC192+AC198+AC204+AC210</f>
        <v>0</v>
      </c>
      <c r="AD216" s="407">
        <f>AD132+AD138+AD144+AD150+AD156+AD162+AD168+AD174+AD180+AD186+AD192+AD198+AD204+AD210</f>
        <v>0</v>
      </c>
    </row>
    <row r="217" spans="1:32">
      <c r="A217" s="73"/>
      <c r="B217" s="70"/>
      <c r="C217" s="73"/>
      <c r="D217" s="73"/>
      <c r="E217" s="73" t="s">
        <v>792</v>
      </c>
      <c r="F217" s="73"/>
      <c r="G217" s="73"/>
      <c r="H217" s="408"/>
      <c r="I217" s="407">
        <f>I216*U15*0.001</f>
        <v>0</v>
      </c>
      <c r="J217" s="407"/>
      <c r="K217" s="407">
        <f>K216*U15*0.001</f>
        <v>107.62547159025952</v>
      </c>
      <c r="L217" s="407"/>
      <c r="M217" s="407">
        <f>M216*U15*0.001</f>
        <v>161.43820738538929</v>
      </c>
      <c r="N217" s="407"/>
      <c r="O217" s="407">
        <f>O216*U15*0.001</f>
        <v>137.52143592088717</v>
      </c>
      <c r="P217" s="407"/>
      <c r="Q217" s="407">
        <f>Q216*U15*0.001</f>
        <v>419.54003277314132</v>
      </c>
      <c r="R217" s="407"/>
      <c r="S217" s="407">
        <f>S216*U15*0.001</f>
        <v>123.37067947105675</v>
      </c>
      <c r="T217" s="407"/>
      <c r="U217" s="407">
        <f>U216*U15*0.001</f>
        <v>0</v>
      </c>
      <c r="V217" s="407"/>
      <c r="W217" s="407">
        <f>W216*U15*0.001</f>
        <v>17.937578598376586</v>
      </c>
      <c r="X217" s="407"/>
      <c r="Y217" s="407">
        <f>Y216*U15*0.001</f>
        <v>0</v>
      </c>
      <c r="Z217" s="407"/>
      <c r="AA217" s="407">
        <f>AA216*U15*0.001</f>
        <v>0</v>
      </c>
      <c r="AB217" s="407"/>
      <c r="AC217" s="407">
        <f>AC216*U15*0.001</f>
        <v>0</v>
      </c>
      <c r="AD217" s="407">
        <f>AD216*U15*0.001</f>
        <v>0</v>
      </c>
      <c r="AE217" s="403">
        <f t="shared" ref="AE217:AE219" si="60">SUM(I217:AD217)</f>
        <v>967.43340573911064</v>
      </c>
    </row>
    <row r="218" spans="1:32">
      <c r="A218" s="73"/>
      <c r="B218" s="70"/>
      <c r="C218" s="73"/>
      <c r="D218" s="73"/>
      <c r="E218" s="73" t="s">
        <v>793</v>
      </c>
      <c r="F218" s="73"/>
      <c r="G218" s="73"/>
      <c r="H218" s="408"/>
      <c r="I218" s="407">
        <f>I134+I140+I146+I152+I158+I164+I170+I176+I182+I188+I194+I200+I206+I212</f>
        <v>0</v>
      </c>
      <c r="J218" s="407"/>
      <c r="K218" s="407">
        <f>K134+K140+K146+K152+K158+K164+K170+K176+K182+K188+K194+K200+K206+K212</f>
        <v>252.5</v>
      </c>
      <c r="L218" s="407"/>
      <c r="M218" s="407">
        <f t="shared" ref="M218:AD219" si="61">M134+M140+M146+M152+M158+M164+M170+M176+M182+M188+M194+M200+M206+M212</f>
        <v>536</v>
      </c>
      <c r="N218" s="407"/>
      <c r="O218" s="407">
        <f t="shared" si="61"/>
        <v>712.7</v>
      </c>
      <c r="P218" s="407"/>
      <c r="Q218" s="407">
        <f t="shared" si="61"/>
        <v>973.8</v>
      </c>
      <c r="R218" s="407"/>
      <c r="S218" s="407">
        <f t="shared" si="61"/>
        <v>217.60000000000002</v>
      </c>
      <c r="T218" s="407"/>
      <c r="U218" s="407">
        <f t="shared" si="61"/>
        <v>0</v>
      </c>
      <c r="V218" s="407"/>
      <c r="W218" s="407">
        <f t="shared" si="61"/>
        <v>0</v>
      </c>
      <c r="X218" s="407"/>
      <c r="Y218" s="407">
        <f t="shared" si="61"/>
        <v>0</v>
      </c>
      <c r="Z218" s="407"/>
      <c r="AA218" s="407">
        <f t="shared" si="61"/>
        <v>0</v>
      </c>
      <c r="AB218" s="407"/>
      <c r="AC218" s="407">
        <f t="shared" si="61"/>
        <v>0</v>
      </c>
      <c r="AD218" s="407">
        <f t="shared" si="61"/>
        <v>0</v>
      </c>
      <c r="AE218" s="403">
        <f t="shared" si="60"/>
        <v>2692.6</v>
      </c>
    </row>
    <row r="219" spans="1:32">
      <c r="A219" s="73"/>
      <c r="B219" s="70"/>
      <c r="C219" s="73"/>
      <c r="D219" s="73"/>
      <c r="E219" s="73" t="s">
        <v>966</v>
      </c>
      <c r="F219" s="73"/>
      <c r="G219" s="73"/>
      <c r="H219" s="408"/>
      <c r="I219" s="407">
        <f>I135+I141+I147+I153+I159+I165+I171+I177+I183+I189+I195+I201+I207+I213</f>
        <v>0</v>
      </c>
      <c r="J219" s="407"/>
      <c r="K219" s="407">
        <f>K135+K141+K147+K153+K159+K165+K171+K177+K183+K189+K195+K201+K207+K213</f>
        <v>12</v>
      </c>
      <c r="L219" s="407"/>
      <c r="M219" s="407">
        <f t="shared" si="61"/>
        <v>12</v>
      </c>
      <c r="N219" s="407"/>
      <c r="O219" s="407">
        <f t="shared" si="61"/>
        <v>12</v>
      </c>
      <c r="P219" s="407"/>
      <c r="Q219" s="407">
        <f t="shared" si="61"/>
        <v>12</v>
      </c>
      <c r="R219" s="407"/>
      <c r="S219" s="407">
        <f t="shared" si="61"/>
        <v>4</v>
      </c>
      <c r="T219" s="407"/>
      <c r="U219" s="407">
        <f t="shared" si="61"/>
        <v>0</v>
      </c>
      <c r="V219" s="407"/>
      <c r="W219" s="407">
        <f t="shared" si="61"/>
        <v>0</v>
      </c>
      <c r="X219" s="407"/>
      <c r="Y219" s="407">
        <f t="shared" si="61"/>
        <v>0</v>
      </c>
      <c r="Z219" s="407"/>
      <c r="AA219" s="407">
        <f t="shared" si="61"/>
        <v>0</v>
      </c>
      <c r="AB219" s="407"/>
      <c r="AC219" s="407">
        <f t="shared" si="61"/>
        <v>0</v>
      </c>
      <c r="AD219" s="407">
        <f t="shared" si="61"/>
        <v>0</v>
      </c>
      <c r="AE219" s="403">
        <f t="shared" si="60"/>
        <v>52</v>
      </c>
    </row>
    <row r="220" spans="1:32">
      <c r="A220" s="73"/>
      <c r="B220" s="70"/>
      <c r="C220" s="73"/>
      <c r="D220" s="73"/>
      <c r="E220" s="73" t="s">
        <v>794</v>
      </c>
      <c r="F220" s="73"/>
      <c r="G220" s="73"/>
      <c r="H220" s="408"/>
      <c r="I220" s="407">
        <f>I217+I218+I219</f>
        <v>0</v>
      </c>
      <c r="J220" s="407"/>
      <c r="K220" s="407">
        <f>K217+K218+K219</f>
        <v>372.12547159025951</v>
      </c>
      <c r="L220" s="407"/>
      <c r="M220" s="407">
        <f t="shared" ref="M220:Y220" si="62">M217+M218+M219</f>
        <v>709.43820738538932</v>
      </c>
      <c r="N220" s="407"/>
      <c r="O220" s="407">
        <f t="shared" si="62"/>
        <v>862.22143592088719</v>
      </c>
      <c r="P220" s="407"/>
      <c r="Q220" s="407">
        <f t="shared" si="62"/>
        <v>1405.3400327731413</v>
      </c>
      <c r="R220" s="407"/>
      <c r="S220" s="407">
        <f t="shared" si="62"/>
        <v>344.97067947105677</v>
      </c>
      <c r="T220" s="407"/>
      <c r="U220" s="407">
        <f t="shared" si="62"/>
        <v>0</v>
      </c>
      <c r="V220" s="407"/>
      <c r="W220" s="407">
        <f t="shared" si="62"/>
        <v>17.937578598376586</v>
      </c>
      <c r="X220" s="407"/>
      <c r="Y220" s="407">
        <f t="shared" si="62"/>
        <v>0</v>
      </c>
      <c r="Z220" s="407"/>
      <c r="AA220" s="407">
        <f>AA217+AA218+AA219</f>
        <v>0</v>
      </c>
      <c r="AB220" s="407"/>
      <c r="AC220" s="407">
        <f>AC217+AC218+AC219</f>
        <v>0</v>
      </c>
      <c r="AD220" s="407">
        <f>AD217+AD218+AD219</f>
        <v>0</v>
      </c>
      <c r="AE220" s="403">
        <f>SUM(I220:AD220)</f>
        <v>3712.0334057391105</v>
      </c>
    </row>
    <row r="221" spans="1:32">
      <c r="A221" s="73"/>
      <c r="B221" s="70"/>
      <c r="C221" s="73"/>
      <c r="D221" s="73"/>
      <c r="E221" s="73" t="s">
        <v>13</v>
      </c>
      <c r="F221" s="73"/>
      <c r="G221" s="73"/>
      <c r="H221" s="407"/>
      <c r="I221" s="407">
        <f>SUM(I219,I217)</f>
        <v>0</v>
      </c>
      <c r="J221" s="407"/>
      <c r="K221" s="407">
        <f t="shared" ref="K221:W221" si="63">SUM(K219,K217)</f>
        <v>119.62547159025952</v>
      </c>
      <c r="L221" s="407">
        <f t="shared" si="63"/>
        <v>0</v>
      </c>
      <c r="M221" s="407">
        <f t="shared" si="63"/>
        <v>173.43820738538929</v>
      </c>
      <c r="N221" s="407"/>
      <c r="O221" s="407">
        <f t="shared" si="63"/>
        <v>149.52143592088717</v>
      </c>
      <c r="P221" s="407"/>
      <c r="Q221" s="407">
        <f t="shared" si="63"/>
        <v>431.54003277314132</v>
      </c>
      <c r="R221" s="407"/>
      <c r="S221" s="407">
        <f t="shared" si="63"/>
        <v>127.37067947105675</v>
      </c>
      <c r="T221" s="407"/>
      <c r="U221" s="407">
        <f t="shared" si="63"/>
        <v>0</v>
      </c>
      <c r="V221" s="407"/>
      <c r="W221" s="407">
        <f t="shared" si="63"/>
        <v>17.937578598376586</v>
      </c>
      <c r="X221" s="407"/>
      <c r="Y221" s="407"/>
      <c r="Z221" s="407"/>
      <c r="AA221" s="407"/>
      <c r="AB221" s="407"/>
      <c r="AC221" s="407"/>
      <c r="AD221" s="407"/>
      <c r="AE221" s="403">
        <f>SUM(AE136:AE214)*1.1</f>
        <v>8034.9312495712838</v>
      </c>
    </row>
    <row r="222" spans="1:32">
      <c r="A222" s="73"/>
      <c r="B222" s="70"/>
      <c r="C222" s="73"/>
      <c r="D222" s="73"/>
      <c r="E222" s="73" t="s">
        <v>29</v>
      </c>
      <c r="F222" s="73"/>
      <c r="G222" s="73"/>
      <c r="H222" s="407"/>
      <c r="I222" s="407">
        <f>I216/$F$2</f>
        <v>0</v>
      </c>
      <c r="J222" s="407"/>
      <c r="K222" s="420">
        <f>K216/$F$2</f>
        <v>1.3090909090909091</v>
      </c>
      <c r="L222" s="407"/>
      <c r="M222" s="420">
        <f>M216/$F$2</f>
        <v>1.9636363636363636</v>
      </c>
      <c r="N222" s="407"/>
      <c r="O222" s="407">
        <f>O216/$F$2</f>
        <v>1.6727272727272726</v>
      </c>
      <c r="P222" s="407"/>
      <c r="Q222" s="407">
        <f>Q216/$F$2</f>
        <v>5.1030303030303035</v>
      </c>
      <c r="R222" s="407"/>
      <c r="S222" s="407"/>
      <c r="T222" s="407"/>
      <c r="U222" s="407"/>
      <c r="V222" s="407"/>
      <c r="W222" s="407"/>
      <c r="X222" s="407"/>
      <c r="Y222" s="407"/>
      <c r="Z222" s="407"/>
      <c r="AA222" s="407"/>
      <c r="AB222" s="407"/>
      <c r="AC222" s="407"/>
      <c r="AD222" s="407"/>
    </row>
    <row r="223" spans="1:32" outlineLevel="1">
      <c r="A223" t="s">
        <v>1098</v>
      </c>
      <c r="E223" t="s">
        <v>791</v>
      </c>
      <c r="O223" s="115">
        <v>400</v>
      </c>
      <c r="Q223" s="115">
        <v>270</v>
      </c>
    </row>
    <row r="224" spans="1:32" outlineLevel="1">
      <c r="A224">
        <v>510100</v>
      </c>
      <c r="B224" t="s">
        <v>1099</v>
      </c>
      <c r="C224" t="s">
        <v>351</v>
      </c>
      <c r="D224" t="str">
        <f>VLOOKUP(C224,'Price Table 8 OHB'!A:B,2,FALSE)</f>
        <v>(System level) Assembly, Integration and Testing,Verification</v>
      </c>
      <c r="E224" t="s">
        <v>792</v>
      </c>
      <c r="I224" s="115">
        <f>I223*U15*0.001</f>
        <v>0</v>
      </c>
      <c r="K224" s="115">
        <f>K223*U15*0.001</f>
        <v>0</v>
      </c>
      <c r="M224" s="115">
        <f>M223*U15*0.001</f>
        <v>0</v>
      </c>
      <c r="O224" s="115">
        <f>O223*U15*0.001</f>
        <v>39.861285774170199</v>
      </c>
      <c r="Q224" s="115">
        <f>Q223*U15*0.001</f>
        <v>26.906367897564881</v>
      </c>
      <c r="S224" s="115">
        <f>S223*U15*0.001</f>
        <v>0</v>
      </c>
      <c r="U224" s="115">
        <f>U223*U15*0.001</f>
        <v>0</v>
      </c>
      <c r="W224" s="115">
        <f>W223*U15*0.001</f>
        <v>0</v>
      </c>
      <c r="Y224" s="115">
        <f>Y223*U15*0.001</f>
        <v>0</v>
      </c>
      <c r="AA224" s="115">
        <f>AA223*U15*0.001</f>
        <v>0</v>
      </c>
      <c r="AC224" s="115">
        <f>AC223*U15*0.001</f>
        <v>0</v>
      </c>
      <c r="AD224" s="115">
        <f>AD223*U15*0.001</f>
        <v>0</v>
      </c>
      <c r="AE224" s="403">
        <f t="shared" ref="AE224:AE226" si="64">SUM(I224:AD224)</f>
        <v>66.767653671735076</v>
      </c>
    </row>
    <row r="225" spans="1:31" outlineLevel="1">
      <c r="A225">
        <v>510100</v>
      </c>
      <c r="B225" t="s">
        <v>1099</v>
      </c>
      <c r="C225" t="s">
        <v>356</v>
      </c>
      <c r="D225" t="str">
        <f>VLOOKUP(C225,'Price Table 8 OHB'!A:B,2,FALSE)</f>
        <v>Ground Segment Equipment</v>
      </c>
      <c r="E225" t="s">
        <v>1100</v>
      </c>
      <c r="O225" s="115">
        <v>10</v>
      </c>
      <c r="AE225" s="403">
        <f t="shared" si="64"/>
        <v>10</v>
      </c>
    </row>
    <row r="226" spans="1:31" outlineLevel="1">
      <c r="A226">
        <v>510100</v>
      </c>
      <c r="B226" t="s">
        <v>1099</v>
      </c>
      <c r="C226" t="s">
        <v>351</v>
      </c>
      <c r="D226" t="str">
        <f>VLOOKUP(C226,'Price Table 8 OHB'!A:B,2,FALSE)</f>
        <v>(System level) Assembly, Integration and Testing,Verification</v>
      </c>
      <c r="E226" t="s">
        <v>966</v>
      </c>
      <c r="AE226" s="403">
        <f t="shared" si="64"/>
        <v>0</v>
      </c>
    </row>
    <row r="227" spans="1:31" outlineLevel="1">
      <c r="E227" t="s">
        <v>794</v>
      </c>
      <c r="H227" s="118"/>
      <c r="I227" s="115">
        <f>I224+I225+I226</f>
        <v>0</v>
      </c>
      <c r="K227" s="115">
        <f>K224+K225+K226</f>
        <v>0</v>
      </c>
      <c r="M227" s="115">
        <f t="shared" ref="M227:AD227" si="65">M224+M225+M226</f>
        <v>0</v>
      </c>
      <c r="O227" s="115">
        <f t="shared" si="65"/>
        <v>49.861285774170199</v>
      </c>
      <c r="Q227" s="115">
        <f t="shared" si="65"/>
        <v>26.906367897564881</v>
      </c>
      <c r="S227" s="115">
        <f t="shared" si="65"/>
        <v>0</v>
      </c>
      <c r="U227" s="115">
        <f t="shared" si="65"/>
        <v>0</v>
      </c>
      <c r="W227" s="115">
        <f t="shared" si="65"/>
        <v>0</v>
      </c>
      <c r="Y227" s="115">
        <f t="shared" si="65"/>
        <v>0</v>
      </c>
      <c r="AA227" s="115">
        <f t="shared" si="65"/>
        <v>0</v>
      </c>
      <c r="AC227" s="115">
        <f t="shared" si="65"/>
        <v>0</v>
      </c>
      <c r="AD227" s="115">
        <f t="shared" si="65"/>
        <v>0</v>
      </c>
      <c r="AE227" s="403">
        <f>SUM(I227:AD227)</f>
        <v>76.767653671735076</v>
      </c>
    </row>
    <row r="228" spans="1:31" outlineLevel="1">
      <c r="A228" s="90"/>
      <c r="B228" s="91"/>
      <c r="C228" s="90"/>
      <c r="D228" s="90"/>
      <c r="E228" s="90"/>
      <c r="F228" s="90"/>
      <c r="G228" s="90"/>
      <c r="H228" s="421"/>
      <c r="I228" s="414"/>
      <c r="J228" s="414"/>
      <c r="K228" s="414"/>
      <c r="L228" s="414"/>
      <c r="M228" s="414"/>
      <c r="N228" s="414"/>
      <c r="O228" s="414"/>
      <c r="P228" s="414"/>
      <c r="Q228" s="414"/>
      <c r="R228" s="414"/>
      <c r="S228" s="414"/>
      <c r="T228" s="414"/>
      <c r="U228" s="414"/>
      <c r="V228" s="414"/>
      <c r="W228" s="414"/>
      <c r="X228" s="414"/>
      <c r="Y228" s="414"/>
      <c r="Z228" s="414"/>
      <c r="AA228" s="414"/>
      <c r="AB228" s="414"/>
      <c r="AC228" s="414"/>
      <c r="AD228" s="414"/>
    </row>
    <row r="229" spans="1:31" outlineLevel="1">
      <c r="A229" t="s">
        <v>1103</v>
      </c>
      <c r="E229" t="s">
        <v>791</v>
      </c>
      <c r="H229" s="118"/>
      <c r="Q229" s="115">
        <v>1862</v>
      </c>
    </row>
    <row r="230" spans="1:31" outlineLevel="1">
      <c r="A230">
        <v>520200</v>
      </c>
      <c r="B230" t="s">
        <v>1104</v>
      </c>
      <c r="C230" t="s">
        <v>351</v>
      </c>
      <c r="D230" t="str">
        <f>VLOOKUP(C230,'Price Table 8 OHB'!A:B,2,FALSE)</f>
        <v>(System level) Assembly, Integration and Testing,Verification</v>
      </c>
      <c r="E230" t="s">
        <v>792</v>
      </c>
      <c r="H230" s="118"/>
      <c r="I230" s="115">
        <f>I229*U15*0.001</f>
        <v>0</v>
      </c>
      <c r="K230" s="115">
        <f>K229*U15*0.001</f>
        <v>0</v>
      </c>
      <c r="M230" s="115">
        <f>M229*U15*0.001</f>
        <v>0</v>
      </c>
      <c r="O230" s="115">
        <f>O229*U15*0.001</f>
        <v>0</v>
      </c>
      <c r="Q230" s="115">
        <f>Q229*U15*0.001</f>
        <v>185.55428527876225</v>
      </c>
      <c r="S230" s="115">
        <f>S229*U15*0.001</f>
        <v>0</v>
      </c>
      <c r="U230" s="115">
        <f>U229*U15*0.001</f>
        <v>0</v>
      </c>
      <c r="W230" s="115">
        <f>W229*U15*0.001</f>
        <v>0</v>
      </c>
      <c r="Y230" s="115">
        <f>Y229*U15*0.001</f>
        <v>0</v>
      </c>
      <c r="AA230" s="115">
        <f>AA229*U15*0.001</f>
        <v>0</v>
      </c>
      <c r="AC230" s="115">
        <f>AC229*U15*0.001</f>
        <v>0</v>
      </c>
      <c r="AD230" s="115">
        <f>AD229*U15*0.001</f>
        <v>0</v>
      </c>
      <c r="AE230" s="403">
        <f t="shared" ref="AE230:AE232" si="66">SUM(I230:AD230)</f>
        <v>185.55428527876225</v>
      </c>
    </row>
    <row r="231" spans="1:31" outlineLevel="1">
      <c r="A231">
        <v>520200</v>
      </c>
      <c r="B231" t="s">
        <v>1104</v>
      </c>
      <c r="D231" t="e">
        <f>VLOOKUP(C231,'Price Table 8 OHB'!A:B,2,FALSE)</f>
        <v>#N/A</v>
      </c>
      <c r="E231" t="s">
        <v>793</v>
      </c>
      <c r="H231" s="118"/>
      <c r="AE231" s="403">
        <f t="shared" si="66"/>
        <v>0</v>
      </c>
    </row>
    <row r="232" spans="1:31" outlineLevel="1">
      <c r="A232">
        <v>520200</v>
      </c>
      <c r="B232" t="s">
        <v>1104</v>
      </c>
      <c r="D232" t="e">
        <f>VLOOKUP(C232,'Price Table 8 OHB'!A:B,2,FALSE)</f>
        <v>#N/A</v>
      </c>
      <c r="E232" t="s">
        <v>966</v>
      </c>
      <c r="H232" s="118"/>
      <c r="AE232" s="403">
        <f t="shared" si="66"/>
        <v>0</v>
      </c>
    </row>
    <row r="233" spans="1:31" outlineLevel="1">
      <c r="E233" t="s">
        <v>794</v>
      </c>
      <c r="H233" s="118"/>
      <c r="I233" s="115">
        <f>I230+I231+I232</f>
        <v>0</v>
      </c>
      <c r="K233" s="115">
        <f>K230+K231+K232</f>
        <v>0</v>
      </c>
      <c r="M233" s="115">
        <f t="shared" ref="M233:AD233" si="67">M230+M231+M232</f>
        <v>0</v>
      </c>
      <c r="O233" s="115">
        <f t="shared" si="67"/>
        <v>0</v>
      </c>
      <c r="Q233" s="115">
        <f t="shared" si="67"/>
        <v>185.55428527876225</v>
      </c>
      <c r="S233" s="115">
        <f t="shared" si="67"/>
        <v>0</v>
      </c>
      <c r="U233" s="115">
        <f t="shared" si="67"/>
        <v>0</v>
      </c>
      <c r="W233" s="115">
        <f t="shared" si="67"/>
        <v>0</v>
      </c>
      <c r="Y233" s="115">
        <f t="shared" si="67"/>
        <v>0</v>
      </c>
      <c r="AA233" s="115">
        <f t="shared" si="67"/>
        <v>0</v>
      </c>
      <c r="AC233" s="115">
        <f t="shared" si="67"/>
        <v>0</v>
      </c>
      <c r="AD233" s="115">
        <f t="shared" si="67"/>
        <v>0</v>
      </c>
      <c r="AE233" s="403">
        <f>SUM(I233:AD233)</f>
        <v>185.55428527876225</v>
      </c>
    </row>
    <row r="234" spans="1:31" outlineLevel="1">
      <c r="A234" s="90"/>
      <c r="B234" s="91"/>
      <c r="C234" s="90"/>
      <c r="D234" s="90"/>
      <c r="E234" s="90"/>
      <c r="F234" s="90"/>
      <c r="G234" s="90"/>
      <c r="H234" s="421"/>
      <c r="I234" s="414"/>
      <c r="J234" s="414"/>
      <c r="K234" s="414"/>
      <c r="L234" s="414"/>
      <c r="M234" s="414"/>
      <c r="N234" s="414"/>
      <c r="O234" s="414"/>
      <c r="P234" s="414"/>
      <c r="Q234" s="414"/>
      <c r="R234" s="414"/>
      <c r="S234" s="414"/>
      <c r="T234" s="414"/>
      <c r="U234" s="414"/>
      <c r="V234" s="414"/>
      <c r="W234" s="414"/>
      <c r="X234" s="414"/>
      <c r="Y234" s="414"/>
      <c r="Z234" s="414"/>
      <c r="AA234" s="414"/>
      <c r="AB234" s="414"/>
      <c r="AC234" s="414"/>
      <c r="AD234" s="414"/>
    </row>
    <row r="235" spans="1:31" outlineLevel="1">
      <c r="A235" t="s">
        <v>1107</v>
      </c>
      <c r="E235" t="s">
        <v>791</v>
      </c>
      <c r="H235" s="118"/>
      <c r="Q235" s="115">
        <v>1060</v>
      </c>
    </row>
    <row r="236" spans="1:31" outlineLevel="1">
      <c r="A236">
        <v>490440</v>
      </c>
      <c r="B236" t="s">
        <v>1108</v>
      </c>
      <c r="C236" t="s">
        <v>321</v>
      </c>
      <c r="D236" t="str">
        <f>VLOOKUP(C236,'Price Table 8 OHB'!A:B,2,FALSE)</f>
        <v>Structure - Engineering</v>
      </c>
      <c r="E236" t="s">
        <v>792</v>
      </c>
      <c r="H236" s="118"/>
      <c r="I236" s="115">
        <f>I235*U15*0.001</f>
        <v>0</v>
      </c>
      <c r="K236" s="115">
        <f>K235*U15*0.001</f>
        <v>0</v>
      </c>
      <c r="M236" s="115">
        <f>M235*U15*0.001</f>
        <v>0</v>
      </c>
      <c r="O236" s="115">
        <f>O235*U15*0.001</f>
        <v>0</v>
      </c>
      <c r="Q236" s="115">
        <f>Q235*U15*0.001</f>
        <v>105.63240730155101</v>
      </c>
      <c r="S236" s="115">
        <f>S235*U15*0.001</f>
        <v>0</v>
      </c>
      <c r="U236" s="115">
        <f>U235*U15*0.001</f>
        <v>0</v>
      </c>
      <c r="W236" s="115">
        <f>W235*U15*0.001</f>
        <v>0</v>
      </c>
      <c r="Y236" s="115">
        <f>Y235*U15*0.001</f>
        <v>0</v>
      </c>
      <c r="AA236" s="115">
        <f>AA235*U15*0.001</f>
        <v>0</v>
      </c>
      <c r="AC236" s="115">
        <f>AC235*U15*0.001</f>
        <v>0</v>
      </c>
      <c r="AD236" s="115">
        <f>AD235*U15*0.001</f>
        <v>0</v>
      </c>
      <c r="AE236" s="403">
        <f t="shared" ref="AE236:AE238" si="68">SUM(I236:AD236)</f>
        <v>105.63240730155101</v>
      </c>
    </row>
    <row r="237" spans="1:31" outlineLevel="1">
      <c r="A237">
        <v>490440</v>
      </c>
      <c r="B237" t="s">
        <v>1108</v>
      </c>
      <c r="C237" t="s">
        <v>602</v>
      </c>
      <c r="D237" t="str">
        <f>VLOOKUP(C237,'Price Table 8 OHB'!A:B,2,FALSE)</f>
        <v>Structure - HW</v>
      </c>
      <c r="E237" t="s">
        <v>793</v>
      </c>
      <c r="Q237" s="115">
        <v>68.55</v>
      </c>
      <c r="AE237" s="403">
        <f t="shared" si="68"/>
        <v>68.55</v>
      </c>
    </row>
    <row r="238" spans="1:31" outlineLevel="1">
      <c r="A238">
        <v>490440</v>
      </c>
      <c r="B238" t="s">
        <v>1108</v>
      </c>
      <c r="C238" t="s">
        <v>321</v>
      </c>
      <c r="D238" t="str">
        <f>VLOOKUP(C238,'Price Table 8 OHB'!A:B,2,FALSE)</f>
        <v>Structure - Engineering</v>
      </c>
      <c r="E238" t="s">
        <v>966</v>
      </c>
      <c r="H238" s="118"/>
      <c r="AE238" s="403">
        <f t="shared" si="68"/>
        <v>0</v>
      </c>
    </row>
    <row r="239" spans="1:31" outlineLevel="1">
      <c r="E239" t="s">
        <v>794</v>
      </c>
      <c r="H239" s="118"/>
      <c r="I239" s="115">
        <f>I236+I237+K238</f>
        <v>0</v>
      </c>
      <c r="K239" s="115">
        <f>K236+K237+K238</f>
        <v>0</v>
      </c>
      <c r="M239" s="115">
        <f t="shared" ref="M239:AD239" si="69">M236+M237+M238</f>
        <v>0</v>
      </c>
      <c r="O239" s="115">
        <f t="shared" si="69"/>
        <v>0</v>
      </c>
      <c r="Q239" s="115">
        <f t="shared" si="69"/>
        <v>174.182407301551</v>
      </c>
      <c r="S239" s="115">
        <f t="shared" si="69"/>
        <v>0</v>
      </c>
      <c r="U239" s="115">
        <f t="shared" si="69"/>
        <v>0</v>
      </c>
      <c r="W239" s="115">
        <f t="shared" si="69"/>
        <v>0</v>
      </c>
      <c r="Y239" s="115">
        <f t="shared" si="69"/>
        <v>0</v>
      </c>
      <c r="AA239" s="115">
        <f t="shared" si="69"/>
        <v>0</v>
      </c>
      <c r="AC239" s="115">
        <f t="shared" si="69"/>
        <v>0</v>
      </c>
      <c r="AD239" s="115">
        <f t="shared" si="69"/>
        <v>0</v>
      </c>
      <c r="AE239" s="403">
        <f>SUM(I239:AD239)</f>
        <v>174.182407301551</v>
      </c>
    </row>
    <row r="240" spans="1:31" outlineLevel="1">
      <c r="A240" s="90"/>
      <c r="B240" s="91"/>
      <c r="C240" s="90"/>
      <c r="D240" s="90"/>
      <c r="E240" s="90"/>
      <c r="F240" s="90"/>
      <c r="G240" s="90"/>
      <c r="H240" s="414"/>
      <c r="I240" s="414"/>
      <c r="J240" s="414"/>
      <c r="K240" s="414"/>
      <c r="L240" s="414"/>
      <c r="M240" s="414"/>
      <c r="N240" s="414"/>
      <c r="O240" s="414"/>
      <c r="P240" s="414"/>
      <c r="Q240" s="414"/>
      <c r="R240" s="414"/>
      <c r="S240" s="414"/>
      <c r="T240" s="414"/>
      <c r="U240" s="414"/>
      <c r="V240" s="414"/>
      <c r="W240" s="414"/>
      <c r="X240" s="414"/>
      <c r="Y240" s="414"/>
      <c r="Z240" s="414"/>
      <c r="AA240" s="414"/>
      <c r="AB240" s="414"/>
      <c r="AC240" s="414"/>
      <c r="AD240" s="414"/>
    </row>
    <row r="241" spans="1:32" outlineLevel="1">
      <c r="A241" t="s">
        <v>1113</v>
      </c>
      <c r="E241" t="s">
        <v>791</v>
      </c>
      <c r="S241" s="115">
        <v>3500</v>
      </c>
      <c r="U241" s="115">
        <v>3500</v>
      </c>
      <c r="W241" s="115">
        <v>1835</v>
      </c>
    </row>
    <row r="242" spans="1:32" outlineLevel="1">
      <c r="A242">
        <v>550100</v>
      </c>
      <c r="B242" t="s">
        <v>1114</v>
      </c>
      <c r="C242" t="s">
        <v>351</v>
      </c>
      <c r="D242" t="str">
        <f>VLOOKUP(C242,'Price Table 8 OHB'!A:B,2,FALSE)</f>
        <v>(System level) Assembly, Integration and Testing,Verification</v>
      </c>
      <c r="E242" t="s">
        <v>792</v>
      </c>
      <c r="I242" s="115">
        <f>I241*U15*0.001</f>
        <v>0</v>
      </c>
      <c r="K242" s="115">
        <f>K241*U15*0.001</f>
        <v>0</v>
      </c>
      <c r="M242" s="115">
        <f>M241*U15*0.001</f>
        <v>0</v>
      </c>
      <c r="O242" s="115">
        <f>O241*U15*0.001</f>
        <v>0</v>
      </c>
      <c r="Q242" s="115">
        <f>Q241*U15*0.001</f>
        <v>0</v>
      </c>
      <c r="S242" s="115">
        <f>S241*U15*0.001</f>
        <v>348.78625052398922</v>
      </c>
      <c r="U242" s="115">
        <f>U241*U15*0.001</f>
        <v>348.78625052398922</v>
      </c>
      <c r="W242" s="115">
        <f>W241*U15*0.001</f>
        <v>182.86364848900575</v>
      </c>
      <c r="Y242" s="115">
        <f>Y241*U15*0.001</f>
        <v>0</v>
      </c>
      <c r="AA242" s="115">
        <f>AA241*U15*0.001</f>
        <v>0</v>
      </c>
      <c r="AC242" s="115">
        <f>AC241*U15*0.001</f>
        <v>0</v>
      </c>
      <c r="AD242" s="115">
        <f>AD241*U15*0.001</f>
        <v>0</v>
      </c>
      <c r="AE242" s="403">
        <f t="shared" ref="AE242:AE244" si="70">SUM(I242:AD242)</f>
        <v>880.4361495369842</v>
      </c>
    </row>
    <row r="243" spans="1:32" outlineLevel="1">
      <c r="A243">
        <v>550100</v>
      </c>
      <c r="B243" t="s">
        <v>1114</v>
      </c>
      <c r="C243" t="s">
        <v>351</v>
      </c>
      <c r="D243" t="str">
        <f>VLOOKUP(C243,'Price Table 8 OHB'!A:B,2,FALSE)</f>
        <v>(System level) Assembly, Integration and Testing,Verification</v>
      </c>
      <c r="E243" t="s">
        <v>793</v>
      </c>
      <c r="S243" s="115">
        <v>104</v>
      </c>
      <c r="AE243" s="403">
        <f t="shared" si="70"/>
        <v>104</v>
      </c>
    </row>
    <row r="244" spans="1:32" outlineLevel="1">
      <c r="A244">
        <v>550100</v>
      </c>
      <c r="B244" t="s">
        <v>1114</v>
      </c>
      <c r="C244" t="s">
        <v>351</v>
      </c>
      <c r="D244" t="str">
        <f>VLOOKUP(C244,'Price Table 8 OHB'!A:B,2,FALSE)</f>
        <v>(System level) Assembly, Integration and Testing,Verification</v>
      </c>
      <c r="E244" t="s">
        <v>966</v>
      </c>
      <c r="S244" s="115">
        <v>15</v>
      </c>
      <c r="U244" s="115">
        <v>15</v>
      </c>
      <c r="W244" s="115">
        <v>15</v>
      </c>
      <c r="AE244" s="403">
        <f t="shared" si="70"/>
        <v>45</v>
      </c>
    </row>
    <row r="245" spans="1:32" outlineLevel="1">
      <c r="E245" t="s">
        <v>794</v>
      </c>
      <c r="H245" s="118"/>
      <c r="I245" s="115">
        <f>I242+I243+I244</f>
        <v>0</v>
      </c>
      <c r="K245" s="115">
        <f>K242+K243+K244</f>
        <v>0</v>
      </c>
      <c r="M245" s="115">
        <f t="shared" ref="M245:AD245" si="71">M242+M243+M244</f>
        <v>0</v>
      </c>
      <c r="O245" s="115">
        <f t="shared" si="71"/>
        <v>0</v>
      </c>
      <c r="Q245" s="115">
        <f t="shared" si="71"/>
        <v>0</v>
      </c>
      <c r="S245" s="115">
        <f t="shared" si="71"/>
        <v>467.78625052398922</v>
      </c>
      <c r="U245" s="115">
        <f t="shared" si="71"/>
        <v>363.78625052398922</v>
      </c>
      <c r="W245" s="115">
        <f t="shared" si="71"/>
        <v>197.86364848900575</v>
      </c>
      <c r="Y245" s="115">
        <f t="shared" si="71"/>
        <v>0</v>
      </c>
      <c r="AA245" s="115">
        <f t="shared" si="71"/>
        <v>0</v>
      </c>
      <c r="AC245" s="115">
        <f t="shared" si="71"/>
        <v>0</v>
      </c>
      <c r="AD245" s="115">
        <f t="shared" si="71"/>
        <v>0</v>
      </c>
      <c r="AE245" s="403">
        <f>SUM(I245:AD245)</f>
        <v>1029.4361495369842</v>
      </c>
    </row>
    <row r="246" spans="1:32" outlineLevel="1">
      <c r="A246" s="90"/>
      <c r="B246" s="91"/>
      <c r="C246" s="90"/>
      <c r="D246" s="90"/>
      <c r="E246" s="90"/>
      <c r="F246" s="90"/>
      <c r="G246" s="90"/>
      <c r="H246" s="414"/>
      <c r="I246" s="414"/>
      <c r="J246" s="414"/>
      <c r="K246" s="414"/>
      <c r="L246" s="414"/>
      <c r="M246" s="414"/>
      <c r="N246" s="414"/>
      <c r="O246" s="414"/>
      <c r="P246" s="414"/>
      <c r="Q246" s="414"/>
      <c r="R246" s="414"/>
      <c r="S246" s="414"/>
      <c r="T246" s="414"/>
      <c r="U246" s="414"/>
      <c r="V246" s="414"/>
      <c r="W246" s="414"/>
      <c r="X246" s="414"/>
      <c r="Y246" s="414"/>
      <c r="Z246" s="414"/>
      <c r="AA246" s="414"/>
      <c r="AB246" s="414"/>
      <c r="AC246" s="414"/>
      <c r="AD246" s="414"/>
    </row>
    <row r="247" spans="1:32" outlineLevel="1">
      <c r="A247" t="s">
        <v>1117</v>
      </c>
      <c r="E247" t="s">
        <v>791</v>
      </c>
      <c r="W247" s="115">
        <v>890</v>
      </c>
      <c r="Y247" s="115">
        <v>215</v>
      </c>
    </row>
    <row r="248" spans="1:32" outlineLevel="1">
      <c r="A248">
        <v>550200</v>
      </c>
      <c r="B248" t="s">
        <v>1118</v>
      </c>
      <c r="C248" t="s">
        <v>351</v>
      </c>
      <c r="D248" t="str">
        <f>VLOOKUP(C248,'Price Table 8 OHB'!A:B,2,FALSE)</f>
        <v>(System level) Assembly, Integration and Testing,Verification</v>
      </c>
      <c r="E248" t="s">
        <v>792</v>
      </c>
      <c r="I248" s="115">
        <f>I247*U15*0.001</f>
        <v>0</v>
      </c>
      <c r="K248" s="115">
        <f>K247*U15*0.001</f>
        <v>0</v>
      </c>
      <c r="M248" s="115">
        <f>M247*U15*0.001</f>
        <v>0</v>
      </c>
      <c r="O248" s="115">
        <f>O247*U15*0.001</f>
        <v>0</v>
      </c>
      <c r="Q248" s="115">
        <f>Q247*U15*0.001</f>
        <v>0</v>
      </c>
      <c r="S248" s="115">
        <f>S247*U15*0.001</f>
        <v>0</v>
      </c>
      <c r="U248" s="115">
        <f>U247*U15*0.001</f>
        <v>0</v>
      </c>
      <c r="W248" s="115">
        <f>W247*U15*0.001</f>
        <v>88.691360847528671</v>
      </c>
      <c r="Y248" s="115">
        <f>Y247*U15*0.001</f>
        <v>21.425441103616478</v>
      </c>
      <c r="AA248" s="115">
        <f>AA247*U15*0.001</f>
        <v>0</v>
      </c>
      <c r="AC248" s="115">
        <f>AC247*U15*0.001</f>
        <v>0</v>
      </c>
      <c r="AD248" s="115">
        <f>AD247*U15*0.001</f>
        <v>0</v>
      </c>
      <c r="AE248" s="403">
        <f t="shared" ref="AE248:AE250" si="72">SUM(I248:AD248)</f>
        <v>110.11680195114515</v>
      </c>
    </row>
    <row r="249" spans="1:32" outlineLevel="1">
      <c r="A249">
        <v>550200</v>
      </c>
      <c r="B249" t="s">
        <v>1118</v>
      </c>
      <c r="C249" t="s">
        <v>351</v>
      </c>
      <c r="D249" t="str">
        <f>VLOOKUP(C249,'Price Table 8 OHB'!A:B,2,FALSE)</f>
        <v>(System level) Assembly, Integration and Testing,Verification</v>
      </c>
      <c r="E249" s="63" t="s">
        <v>793</v>
      </c>
      <c r="W249" s="115">
        <v>114</v>
      </c>
      <c r="AE249" s="403">
        <f t="shared" si="72"/>
        <v>114</v>
      </c>
    </row>
    <row r="250" spans="1:32" outlineLevel="1">
      <c r="A250">
        <v>550200</v>
      </c>
      <c r="B250" t="s">
        <v>1118</v>
      </c>
      <c r="C250" t="s">
        <v>351</v>
      </c>
      <c r="D250" t="str">
        <f>VLOOKUP(C250,'Price Table 8 OHB'!A:B,2,FALSE)</f>
        <v>(System level) Assembly, Integration and Testing,Verification</v>
      </c>
      <c r="E250" s="63" t="s">
        <v>966</v>
      </c>
      <c r="AE250" s="403">
        <f t="shared" si="72"/>
        <v>0</v>
      </c>
    </row>
    <row r="251" spans="1:32" outlineLevel="1">
      <c r="E251" t="s">
        <v>794</v>
      </c>
      <c r="H251" s="118"/>
      <c r="I251" s="115">
        <f>I248+I249+I250</f>
        <v>0</v>
      </c>
      <c r="K251" s="115">
        <f>K248+K249+K250</f>
        <v>0</v>
      </c>
      <c r="M251" s="115">
        <f t="shared" ref="M251:AD251" si="73">M248+M249+M250</f>
        <v>0</v>
      </c>
      <c r="O251" s="115">
        <f t="shared" si="73"/>
        <v>0</v>
      </c>
      <c r="Q251" s="115">
        <f t="shared" si="73"/>
        <v>0</v>
      </c>
      <c r="S251" s="115">
        <f t="shared" si="73"/>
        <v>0</v>
      </c>
      <c r="U251" s="115">
        <f t="shared" si="73"/>
        <v>0</v>
      </c>
      <c r="W251" s="115">
        <f t="shared" si="73"/>
        <v>202.69136084752867</v>
      </c>
      <c r="Y251" s="115">
        <f t="shared" si="73"/>
        <v>21.425441103616478</v>
      </c>
      <c r="AA251" s="115">
        <f t="shared" si="73"/>
        <v>0</v>
      </c>
      <c r="AC251" s="115">
        <f t="shared" si="73"/>
        <v>0</v>
      </c>
      <c r="AD251" s="115">
        <f t="shared" si="73"/>
        <v>0</v>
      </c>
      <c r="AE251" s="403">
        <f>SUM(I251:AD251)</f>
        <v>224.11680195114513</v>
      </c>
    </row>
    <row r="252" spans="1:32" s="16" customFormat="1" outlineLevel="1">
      <c r="A252" s="110"/>
      <c r="B252" s="111"/>
      <c r="C252" s="110"/>
      <c r="D252" s="110"/>
      <c r="E252" s="110"/>
      <c r="F252" s="110"/>
      <c r="G252" s="110"/>
      <c r="H252" s="417"/>
      <c r="I252" s="417"/>
      <c r="J252" s="417"/>
      <c r="K252" s="417"/>
      <c r="L252" s="417"/>
      <c r="M252" s="417"/>
      <c r="N252" s="417"/>
      <c r="O252" s="417"/>
      <c r="P252" s="417"/>
      <c r="Q252" s="417"/>
      <c r="R252" s="417"/>
      <c r="S252" s="417"/>
      <c r="T252" s="417"/>
      <c r="U252" s="417"/>
      <c r="V252" s="417"/>
      <c r="W252" s="417"/>
      <c r="X252" s="417"/>
      <c r="Y252" s="417"/>
      <c r="Z252" s="417"/>
      <c r="AA252" s="417"/>
      <c r="AB252" s="417"/>
      <c r="AC252" s="417"/>
      <c r="AD252" s="417"/>
      <c r="AE252" s="402"/>
      <c r="AF252" s="390"/>
    </row>
    <row r="253" spans="1:32" outlineLevel="1">
      <c r="A253" t="s">
        <v>1121</v>
      </c>
      <c r="C253" s="17"/>
      <c r="D253" s="17"/>
      <c r="E253" t="s">
        <v>791</v>
      </c>
      <c r="Y253" s="115">
        <v>1443</v>
      </c>
      <c r="AA253" s="115">
        <v>702</v>
      </c>
    </row>
    <row r="254" spans="1:32" outlineLevel="1">
      <c r="A254" s="92">
        <v>730000</v>
      </c>
      <c r="B254" s="92" t="s">
        <v>1122</v>
      </c>
      <c r="C254" t="s">
        <v>434</v>
      </c>
      <c r="D254" t="str">
        <f>VLOOKUP(C254,'Price Table 8 OHB'!A:B,2,FALSE)</f>
        <v>Mission Operations</v>
      </c>
      <c r="E254" t="s">
        <v>998</v>
      </c>
      <c r="I254" s="115">
        <f>I253*U15*0.001</f>
        <v>0</v>
      </c>
      <c r="K254" s="115">
        <f>K253*U15*0.001</f>
        <v>0</v>
      </c>
      <c r="M254" s="115">
        <f>M253*U15*0.001</f>
        <v>0</v>
      </c>
      <c r="O254" s="115">
        <f>O253*U15*0.001</f>
        <v>0</v>
      </c>
      <c r="Q254" s="115">
        <f>Q253*U15*0.001</f>
        <v>0</v>
      </c>
      <c r="S254" s="115">
        <f>S253*U15*0.001</f>
        <v>0</v>
      </c>
      <c r="U254" s="115">
        <f>U253*U15*0.001</f>
        <v>0</v>
      </c>
      <c r="W254" s="115">
        <f>W253*U15*0.001</f>
        <v>0</v>
      </c>
      <c r="Y254" s="115">
        <f>Y253*U15*0.001</f>
        <v>143.79958843031898</v>
      </c>
      <c r="AA254" s="115">
        <f>AA253*U15*0.001</f>
        <v>69.956556533668689</v>
      </c>
      <c r="AC254" s="115">
        <f>AC253*U15*0.001</f>
        <v>0</v>
      </c>
      <c r="AD254" s="115">
        <f>AD253*U15*0.001</f>
        <v>0</v>
      </c>
      <c r="AE254" s="403">
        <f t="shared" ref="AE254:AE256" si="74">SUM(I254:AD254)</f>
        <v>213.75614496398765</v>
      </c>
    </row>
    <row r="255" spans="1:32" outlineLevel="1">
      <c r="A255" s="92">
        <v>730000</v>
      </c>
      <c r="B255" s="92" t="s">
        <v>1122</v>
      </c>
      <c r="C255" t="s">
        <v>631</v>
      </c>
      <c r="D255" t="str">
        <f>VLOOKUP(C255,'Price Table 8 OHB'!A:B,2,FALSE)</f>
        <v>Ground Segment - Procurement</v>
      </c>
      <c r="E255" t="s">
        <v>793</v>
      </c>
      <c r="Y255" s="115">
        <f>220+Y397</f>
        <v>397.5</v>
      </c>
      <c r="AA255" s="115">
        <f>AA397</f>
        <v>177.5</v>
      </c>
      <c r="AE255" s="403">
        <f t="shared" si="74"/>
        <v>575</v>
      </c>
    </row>
    <row r="256" spans="1:32" outlineLevel="1">
      <c r="A256" s="92">
        <v>730000</v>
      </c>
      <c r="B256" s="92" t="s">
        <v>1122</v>
      </c>
      <c r="C256" t="s">
        <v>434</v>
      </c>
      <c r="D256" t="str">
        <f>VLOOKUP(C256,'Price Table 8 OHB'!A:B,2,FALSE)</f>
        <v>Mission Operations</v>
      </c>
      <c r="E256" t="s">
        <v>966</v>
      </c>
      <c r="Y256" s="115">
        <v>50</v>
      </c>
      <c r="AA256" s="115">
        <v>54</v>
      </c>
      <c r="AE256" s="403">
        <f t="shared" si="74"/>
        <v>104</v>
      </c>
    </row>
    <row r="257" spans="1:31" outlineLevel="1">
      <c r="E257" t="s">
        <v>794</v>
      </c>
      <c r="H257" s="118"/>
      <c r="I257" s="115">
        <f>I254+I255+I256</f>
        <v>0</v>
      </c>
      <c r="K257" s="115">
        <f>K254+K255+K256</f>
        <v>0</v>
      </c>
      <c r="M257" s="115">
        <f t="shared" ref="M257:AD257" si="75">M254+M255+M256</f>
        <v>0</v>
      </c>
      <c r="O257" s="115">
        <f t="shared" si="75"/>
        <v>0</v>
      </c>
      <c r="Q257" s="115">
        <f t="shared" si="75"/>
        <v>0</v>
      </c>
      <c r="S257" s="115">
        <f t="shared" si="75"/>
        <v>0</v>
      </c>
      <c r="U257" s="115">
        <f t="shared" si="75"/>
        <v>0</v>
      </c>
      <c r="W257" s="115">
        <f t="shared" si="75"/>
        <v>0</v>
      </c>
      <c r="Y257" s="115">
        <f t="shared" si="75"/>
        <v>591.29958843031898</v>
      </c>
      <c r="AA257" s="115">
        <f t="shared" si="75"/>
        <v>301.45655653366867</v>
      </c>
      <c r="AC257" s="115">
        <f t="shared" si="75"/>
        <v>0</v>
      </c>
      <c r="AD257" s="115">
        <f t="shared" si="75"/>
        <v>0</v>
      </c>
      <c r="AE257" s="403">
        <f>SUM(I257:AD257)</f>
        <v>892.75614496398771</v>
      </c>
    </row>
    <row r="258" spans="1:31">
      <c r="A258" s="73"/>
      <c r="B258" s="70"/>
      <c r="C258" s="73"/>
      <c r="D258" s="73"/>
      <c r="E258" s="73"/>
      <c r="F258" s="73"/>
      <c r="G258" s="73"/>
      <c r="H258" s="408"/>
      <c r="I258" s="407"/>
      <c r="J258" s="407"/>
      <c r="K258" s="407"/>
      <c r="L258" s="407"/>
      <c r="M258" s="407"/>
      <c r="N258" s="407"/>
      <c r="O258" s="407"/>
      <c r="P258" s="407"/>
      <c r="Q258" s="407"/>
      <c r="R258" s="407"/>
      <c r="S258" s="407"/>
      <c r="T258" s="407"/>
      <c r="U258" s="407"/>
      <c r="V258" s="407"/>
      <c r="W258" s="407"/>
      <c r="X258" s="407"/>
      <c r="Y258" s="407"/>
      <c r="Z258" s="407"/>
      <c r="AA258" s="407"/>
      <c r="AB258" s="407"/>
      <c r="AC258" s="407"/>
      <c r="AD258" s="407"/>
    </row>
    <row r="259" spans="1:31">
      <c r="A259" s="73" t="s">
        <v>1124</v>
      </c>
      <c r="B259" s="70"/>
      <c r="C259" s="73"/>
      <c r="D259" s="73"/>
      <c r="E259" s="73" t="s">
        <v>791</v>
      </c>
      <c r="F259" s="73"/>
      <c r="G259" s="73"/>
      <c r="H259" s="408"/>
      <c r="I259" s="407">
        <f>I223+I229+I235+I241+I247+I253</f>
        <v>0</v>
      </c>
      <c r="J259" s="407"/>
      <c r="K259" s="407">
        <f>K223+K229+K235+K241+K247+K253</f>
        <v>0</v>
      </c>
      <c r="L259" s="407"/>
      <c r="M259" s="407">
        <f t="shared" ref="M259:AD259" si="76">M223+M229+M235+M241+M247+M253</f>
        <v>0</v>
      </c>
      <c r="N259" s="407"/>
      <c r="O259" s="407">
        <f t="shared" si="76"/>
        <v>400</v>
      </c>
      <c r="P259" s="407"/>
      <c r="Q259" s="407">
        <f t="shared" si="76"/>
        <v>3192</v>
      </c>
      <c r="R259" s="407"/>
      <c r="S259" s="407">
        <f t="shared" si="76"/>
        <v>3500</v>
      </c>
      <c r="T259" s="407"/>
      <c r="U259" s="407">
        <f t="shared" si="76"/>
        <v>3500</v>
      </c>
      <c r="V259" s="407"/>
      <c r="W259" s="407">
        <f t="shared" si="76"/>
        <v>2725</v>
      </c>
      <c r="X259" s="407"/>
      <c r="Y259" s="407">
        <f t="shared" si="76"/>
        <v>1658</v>
      </c>
      <c r="Z259" s="407"/>
      <c r="AA259" s="407">
        <f t="shared" si="76"/>
        <v>702</v>
      </c>
      <c r="AB259" s="407"/>
      <c r="AC259" s="407">
        <f t="shared" si="76"/>
        <v>0</v>
      </c>
      <c r="AD259" s="407">
        <f t="shared" si="76"/>
        <v>0</v>
      </c>
    </row>
    <row r="260" spans="1:31">
      <c r="A260" s="73"/>
      <c r="B260" s="70"/>
      <c r="C260" s="73"/>
      <c r="D260" s="73"/>
      <c r="E260" s="73" t="s">
        <v>792</v>
      </c>
      <c r="F260" s="73"/>
      <c r="G260" s="73"/>
      <c r="H260" s="408"/>
      <c r="I260" s="407">
        <f>I259*U15*0.001</f>
        <v>0</v>
      </c>
      <c r="J260" s="407"/>
      <c r="K260" s="407">
        <f>K259*U15*0.001</f>
        <v>0</v>
      </c>
      <c r="L260" s="407"/>
      <c r="M260" s="407">
        <f>M259*U15*0.001</f>
        <v>0</v>
      </c>
      <c r="N260" s="407"/>
      <c r="O260" s="407">
        <f>O259*U15*0.001</f>
        <v>39.861285774170199</v>
      </c>
      <c r="P260" s="407"/>
      <c r="Q260" s="407">
        <f>Q259*U15*0.001</f>
        <v>318.09306047787817</v>
      </c>
      <c r="R260" s="407"/>
      <c r="S260" s="407">
        <f>S259*U15*0.001</f>
        <v>348.78625052398922</v>
      </c>
      <c r="T260" s="407"/>
      <c r="U260" s="407">
        <f>U259*U15*0.001</f>
        <v>348.78625052398922</v>
      </c>
      <c r="V260" s="407"/>
      <c r="W260" s="407">
        <f>W259*U15*0.001</f>
        <v>271.55500933653445</v>
      </c>
      <c r="X260" s="407"/>
      <c r="Y260" s="407">
        <f>Y259*U15*0.001</f>
        <v>165.22502953393544</v>
      </c>
      <c r="Z260" s="407"/>
      <c r="AA260" s="407">
        <f>AA259*U15*0.001</f>
        <v>69.956556533668689</v>
      </c>
      <c r="AB260" s="407"/>
      <c r="AC260" s="407">
        <f>AC259*U15*0.001</f>
        <v>0</v>
      </c>
      <c r="AD260" s="407">
        <f>AD259*U15*0.001</f>
        <v>0</v>
      </c>
      <c r="AE260" s="403">
        <f t="shared" ref="AE260:AE262" si="77">SUM(I260:AD260)</f>
        <v>1562.2634427041655</v>
      </c>
    </row>
    <row r="261" spans="1:31">
      <c r="A261" s="73"/>
      <c r="B261" s="70"/>
      <c r="C261" s="73"/>
      <c r="D261" s="73"/>
      <c r="E261" s="73" t="s">
        <v>793</v>
      </c>
      <c r="F261" s="73"/>
      <c r="G261" s="73"/>
      <c r="H261" s="408"/>
      <c r="I261" s="407">
        <f>I225+I231+I237+I243+I249+I255</f>
        <v>0</v>
      </c>
      <c r="J261" s="407"/>
      <c r="K261" s="407">
        <f>K225+K231+K237+K243+K249+K255</f>
        <v>0</v>
      </c>
      <c r="L261" s="407"/>
      <c r="M261" s="407">
        <f t="shared" ref="M261:AD262" si="78">M225+M231+M237+M243+M249+M255</f>
        <v>0</v>
      </c>
      <c r="N261" s="407"/>
      <c r="O261" s="407">
        <f t="shared" si="78"/>
        <v>10</v>
      </c>
      <c r="P261" s="407"/>
      <c r="Q261" s="407">
        <f t="shared" si="78"/>
        <v>68.55</v>
      </c>
      <c r="R261" s="407"/>
      <c r="S261" s="407">
        <f t="shared" si="78"/>
        <v>104</v>
      </c>
      <c r="T261" s="407"/>
      <c r="U261" s="407">
        <f t="shared" si="78"/>
        <v>0</v>
      </c>
      <c r="V261" s="407"/>
      <c r="W261" s="407">
        <f t="shared" si="78"/>
        <v>114</v>
      </c>
      <c r="X261" s="407"/>
      <c r="Y261" s="407">
        <f t="shared" si="78"/>
        <v>397.5</v>
      </c>
      <c r="Z261" s="407"/>
      <c r="AA261" s="407">
        <f t="shared" si="78"/>
        <v>177.5</v>
      </c>
      <c r="AB261" s="407"/>
      <c r="AC261" s="407">
        <f t="shared" si="78"/>
        <v>0</v>
      </c>
      <c r="AD261" s="407">
        <f t="shared" si="78"/>
        <v>0</v>
      </c>
      <c r="AE261" s="403">
        <f t="shared" si="77"/>
        <v>871.55</v>
      </c>
    </row>
    <row r="262" spans="1:31">
      <c r="A262" s="73"/>
      <c r="B262" s="70"/>
      <c r="C262" s="73"/>
      <c r="D262" s="73"/>
      <c r="E262" s="73" t="s">
        <v>966</v>
      </c>
      <c r="F262" s="73"/>
      <c r="G262" s="73"/>
      <c r="H262" s="408"/>
      <c r="I262" s="407">
        <f>I226+I232+I238+I244+I250+I256</f>
        <v>0</v>
      </c>
      <c r="J262" s="407"/>
      <c r="K262" s="407">
        <f>K226+K232+K238+K244+K250+K256</f>
        <v>0</v>
      </c>
      <c r="L262" s="407"/>
      <c r="M262" s="407">
        <f t="shared" si="78"/>
        <v>0</v>
      </c>
      <c r="N262" s="407"/>
      <c r="O262" s="407">
        <f t="shared" si="78"/>
        <v>0</v>
      </c>
      <c r="P262" s="407"/>
      <c r="Q262" s="407">
        <f t="shared" si="78"/>
        <v>0</v>
      </c>
      <c r="R262" s="407"/>
      <c r="S262" s="407">
        <f t="shared" si="78"/>
        <v>15</v>
      </c>
      <c r="T262" s="407"/>
      <c r="U262" s="407">
        <f t="shared" si="78"/>
        <v>15</v>
      </c>
      <c r="V262" s="407"/>
      <c r="W262" s="407">
        <f t="shared" si="78"/>
        <v>15</v>
      </c>
      <c r="X262" s="407"/>
      <c r="Y262" s="407">
        <f t="shared" si="78"/>
        <v>50</v>
      </c>
      <c r="Z262" s="407"/>
      <c r="AA262" s="407">
        <f t="shared" si="78"/>
        <v>54</v>
      </c>
      <c r="AB262" s="407"/>
      <c r="AC262" s="407">
        <f t="shared" si="78"/>
        <v>0</v>
      </c>
      <c r="AD262" s="407">
        <f t="shared" si="78"/>
        <v>0</v>
      </c>
      <c r="AE262" s="403">
        <f t="shared" si="77"/>
        <v>149</v>
      </c>
    </row>
    <row r="263" spans="1:31">
      <c r="A263" s="73"/>
      <c r="B263" s="70"/>
      <c r="C263" s="73"/>
      <c r="D263" s="73"/>
      <c r="E263" s="73" t="s">
        <v>794</v>
      </c>
      <c r="F263" s="73"/>
      <c r="G263" s="73"/>
      <c r="H263" s="408"/>
      <c r="I263" s="407">
        <f>I260+I261+I262</f>
        <v>0</v>
      </c>
      <c r="J263" s="407"/>
      <c r="K263" s="407">
        <f>K260+K261+K262</f>
        <v>0</v>
      </c>
      <c r="L263" s="407"/>
      <c r="M263" s="407">
        <f t="shared" ref="M263:AD263" si="79">M260+M261+M262</f>
        <v>0</v>
      </c>
      <c r="N263" s="407"/>
      <c r="O263" s="407">
        <f t="shared" si="79"/>
        <v>49.861285774170199</v>
      </c>
      <c r="P263" s="407"/>
      <c r="Q263" s="407">
        <f t="shared" si="79"/>
        <v>386.64306047787818</v>
      </c>
      <c r="R263" s="407"/>
      <c r="S263" s="407">
        <f t="shared" si="79"/>
        <v>467.78625052398922</v>
      </c>
      <c r="T263" s="407"/>
      <c r="U263" s="407">
        <f t="shared" si="79"/>
        <v>363.78625052398922</v>
      </c>
      <c r="V263" s="407"/>
      <c r="W263" s="407">
        <f t="shared" si="79"/>
        <v>400.55500933653445</v>
      </c>
      <c r="X263" s="407"/>
      <c r="Y263" s="407">
        <f t="shared" si="79"/>
        <v>612.72502953393541</v>
      </c>
      <c r="Z263" s="407"/>
      <c r="AA263" s="407">
        <f t="shared" si="79"/>
        <v>301.45655653366867</v>
      </c>
      <c r="AB263" s="407"/>
      <c r="AC263" s="407">
        <f t="shared" si="79"/>
        <v>0</v>
      </c>
      <c r="AD263" s="407">
        <f t="shared" si="79"/>
        <v>0</v>
      </c>
      <c r="AE263" s="403">
        <f>SUM(I263:AD263)</f>
        <v>2582.8134427041655</v>
      </c>
    </row>
    <row r="264" spans="1:31">
      <c r="A264" s="73"/>
      <c r="B264" s="70"/>
      <c r="C264" s="73"/>
      <c r="D264" s="73"/>
      <c r="E264" s="73"/>
      <c r="F264" s="73"/>
      <c r="G264" s="73"/>
      <c r="H264" s="407"/>
      <c r="I264" s="407"/>
      <c r="J264" s="407"/>
      <c r="K264" s="407"/>
      <c r="L264" s="407"/>
      <c r="M264" s="407"/>
      <c r="N264" s="407"/>
      <c r="O264" s="407"/>
      <c r="P264" s="407"/>
      <c r="Q264" s="407"/>
      <c r="R264" s="407"/>
      <c r="S264" s="407"/>
      <c r="T264" s="407"/>
      <c r="U264" s="407"/>
      <c r="V264" s="407"/>
      <c r="W264" s="407"/>
      <c r="X264" s="407"/>
      <c r="Y264" s="407"/>
      <c r="Z264" s="407"/>
      <c r="AA264" s="407"/>
      <c r="AB264" s="407"/>
      <c r="AC264" s="407"/>
      <c r="AD264" s="407"/>
      <c r="AE264" s="403">
        <f>SUM(AE227:AE257)*1.1</f>
        <v>5597.7451549102552</v>
      </c>
    </row>
    <row r="265" spans="1:31" outlineLevel="1">
      <c r="A265" t="s">
        <v>1127</v>
      </c>
      <c r="C265" s="17"/>
      <c r="D265" s="17"/>
      <c r="E265" t="s">
        <v>791</v>
      </c>
      <c r="M265" s="115">
        <v>1470</v>
      </c>
      <c r="O265" s="115">
        <v>1470</v>
      </c>
      <c r="Q265" s="115">
        <v>1470</v>
      </c>
      <c r="S265" s="115">
        <v>1225</v>
      </c>
    </row>
    <row r="266" spans="1:31" outlineLevel="1">
      <c r="A266">
        <v>620220</v>
      </c>
      <c r="B266" t="s">
        <v>1128</v>
      </c>
      <c r="C266" t="s">
        <v>389</v>
      </c>
      <c r="D266" t="str">
        <f>VLOOKUP(C266,'Price Table 8 OHB'!A:B,2,FALSE)</f>
        <v>Ground Control Centre Development</v>
      </c>
      <c r="E266" t="s">
        <v>792</v>
      </c>
      <c r="I266" s="115">
        <f>I265*U15*0.001</f>
        <v>0</v>
      </c>
      <c r="K266" s="115">
        <f>K265*U15*0.001</f>
        <v>0</v>
      </c>
      <c r="M266" s="115">
        <f>M265*U15*0.001</f>
        <v>146.49022522007547</v>
      </c>
      <c r="O266" s="115">
        <f>O265*U15*0.001</f>
        <v>146.49022522007547</v>
      </c>
      <c r="Q266" s="115">
        <f>Q265*U15*0.001</f>
        <v>146.49022522007547</v>
      </c>
      <c r="S266" s="115">
        <f>S265*U15*0.001</f>
        <v>122.07518768339622</v>
      </c>
      <c r="U266" s="115">
        <f>U265*U15*0.001</f>
        <v>0</v>
      </c>
      <c r="W266" s="115">
        <f>W265*U15*0.001</f>
        <v>0</v>
      </c>
      <c r="Y266" s="115">
        <f>Y265*U15*0.001</f>
        <v>0</v>
      </c>
      <c r="AA266" s="115">
        <f>AA265*U15*0.001</f>
        <v>0</v>
      </c>
      <c r="AC266" s="115">
        <f>AC265*U15*0.001</f>
        <v>0</v>
      </c>
      <c r="AD266" s="115">
        <f>AD265*U15*0.001</f>
        <v>0</v>
      </c>
      <c r="AE266" s="403">
        <f t="shared" ref="AE266:AE268" si="80">SUM(I266:AD266)</f>
        <v>561.54586334362261</v>
      </c>
    </row>
    <row r="267" spans="1:31" outlineLevel="1">
      <c r="A267">
        <v>620220</v>
      </c>
      <c r="B267" t="s">
        <v>1128</v>
      </c>
      <c r="D267" t="e">
        <f>VLOOKUP(C267,'Price Table 8 OHB'!A:B,2,FALSE)</f>
        <v>#N/A</v>
      </c>
      <c r="E267" t="s">
        <v>793</v>
      </c>
      <c r="AE267" s="403">
        <f t="shared" si="80"/>
        <v>0</v>
      </c>
    </row>
    <row r="268" spans="1:31" outlineLevel="1">
      <c r="A268">
        <v>620220</v>
      </c>
      <c r="B268" t="s">
        <v>1128</v>
      </c>
      <c r="C268" t="s">
        <v>389</v>
      </c>
      <c r="D268" t="str">
        <f>VLOOKUP(C268,'Price Table 8 OHB'!A:B,2,FALSE)</f>
        <v>Ground Control Centre Development</v>
      </c>
      <c r="E268" t="s">
        <v>966</v>
      </c>
      <c r="AE268" s="403">
        <f t="shared" si="80"/>
        <v>0</v>
      </c>
    </row>
    <row r="269" spans="1:31" outlineLevel="1">
      <c r="E269" t="s">
        <v>794</v>
      </c>
      <c r="H269" s="118"/>
      <c r="I269" s="115">
        <f>I266+I267+I268</f>
        <v>0</v>
      </c>
      <c r="K269" s="115">
        <f>K266+K267+K268</f>
        <v>0</v>
      </c>
      <c r="M269" s="115">
        <f t="shared" ref="M269:AD269" si="81">M266+M267+M268</f>
        <v>146.49022522007547</v>
      </c>
      <c r="O269" s="115">
        <f t="shared" si="81"/>
        <v>146.49022522007547</v>
      </c>
      <c r="Q269" s="115">
        <f t="shared" si="81"/>
        <v>146.49022522007547</v>
      </c>
      <c r="S269" s="115">
        <f t="shared" si="81"/>
        <v>122.07518768339622</v>
      </c>
      <c r="U269" s="115">
        <f t="shared" si="81"/>
        <v>0</v>
      </c>
      <c r="W269" s="115">
        <f t="shared" si="81"/>
        <v>0</v>
      </c>
      <c r="Y269" s="115">
        <f t="shared" si="81"/>
        <v>0</v>
      </c>
      <c r="AA269" s="115">
        <f t="shared" si="81"/>
        <v>0</v>
      </c>
      <c r="AC269" s="115">
        <f t="shared" si="81"/>
        <v>0</v>
      </c>
      <c r="AD269" s="115">
        <f t="shared" si="81"/>
        <v>0</v>
      </c>
      <c r="AE269" s="403">
        <f>SUM(I269:AD269)</f>
        <v>561.54586334362261</v>
      </c>
    </row>
    <row r="270" spans="1:31" outlineLevel="1">
      <c r="A270" s="90"/>
      <c r="B270" s="91"/>
      <c r="C270" s="90"/>
      <c r="D270" s="90"/>
      <c r="E270" s="90"/>
      <c r="F270" s="90"/>
      <c r="G270" s="90"/>
      <c r="H270" s="414"/>
      <c r="I270" s="414"/>
      <c r="J270" s="414"/>
      <c r="K270" s="414">
        <f>I266+I267+I268</f>
        <v>0</v>
      </c>
      <c r="L270" s="414"/>
      <c r="M270" s="414"/>
      <c r="N270" s="414"/>
      <c r="O270" s="414"/>
      <c r="P270" s="414"/>
      <c r="Q270" s="414"/>
      <c r="R270" s="414"/>
      <c r="S270" s="414"/>
      <c r="T270" s="414"/>
      <c r="U270" s="414"/>
      <c r="V270" s="414"/>
      <c r="W270" s="414"/>
      <c r="X270" s="414"/>
      <c r="Y270" s="414"/>
      <c r="Z270" s="414"/>
      <c r="AA270" s="414"/>
      <c r="AB270" s="414"/>
      <c r="AC270" s="414"/>
      <c r="AD270" s="414"/>
    </row>
    <row r="271" spans="1:31" outlineLevel="1">
      <c r="A271" t="s">
        <v>1131</v>
      </c>
      <c r="C271" s="17"/>
      <c r="D271" s="17"/>
      <c r="E271" t="s">
        <v>791</v>
      </c>
      <c r="O271" s="115">
        <v>1280</v>
      </c>
    </row>
    <row r="272" spans="1:31" outlineLevel="1">
      <c r="A272">
        <v>620230</v>
      </c>
      <c r="B272" t="s">
        <v>1294</v>
      </c>
      <c r="C272" t="s">
        <v>389</v>
      </c>
      <c r="D272" t="str">
        <f>VLOOKUP(C272,'Price Table 8 OHB'!A:B,2,FALSE)</f>
        <v>Ground Control Centre Development</v>
      </c>
      <c r="E272" t="s">
        <v>792</v>
      </c>
      <c r="I272" s="115">
        <f>I271*U15*0.001</f>
        <v>0</v>
      </c>
      <c r="K272" s="115">
        <f>K271*U15*0.001</f>
        <v>0</v>
      </c>
      <c r="M272" s="115">
        <f>M271*U15*0.001</f>
        <v>0</v>
      </c>
      <c r="O272" s="115">
        <f>O271*U15*0.001</f>
        <v>127.55611447734462</v>
      </c>
      <c r="Q272" s="115">
        <f>Q271*U15*0.001</f>
        <v>0</v>
      </c>
      <c r="S272" s="115">
        <f>S271*U15*0.001</f>
        <v>0</v>
      </c>
      <c r="U272" s="115">
        <f>U271*U15*0.001</f>
        <v>0</v>
      </c>
      <c r="W272" s="115">
        <f>W271*U15*0.001</f>
        <v>0</v>
      </c>
      <c r="Y272" s="115">
        <f>Y271*U15*0.001</f>
        <v>0</v>
      </c>
      <c r="AA272" s="115">
        <f>AA271*U15*0.001</f>
        <v>0</v>
      </c>
      <c r="AC272" s="115">
        <f>AC271*U15*0.001</f>
        <v>0</v>
      </c>
      <c r="AD272" s="115">
        <f>AD271*U15*0.001</f>
        <v>0</v>
      </c>
      <c r="AE272" s="403">
        <f t="shared" ref="AE272:AE274" si="82">SUM(I272:AD272)</f>
        <v>127.55611447734462</v>
      </c>
    </row>
    <row r="273" spans="1:31" outlineLevel="1">
      <c r="A273">
        <v>620230</v>
      </c>
      <c r="B273" t="s">
        <v>1294</v>
      </c>
      <c r="D273" t="e">
        <f>VLOOKUP(C273,'Price Table 8 OHB'!A:B,2,FALSE)</f>
        <v>#N/A</v>
      </c>
      <c r="E273" t="s">
        <v>793</v>
      </c>
      <c r="AE273" s="403">
        <f t="shared" si="82"/>
        <v>0</v>
      </c>
    </row>
    <row r="274" spans="1:31" outlineLevel="1">
      <c r="A274">
        <v>620230</v>
      </c>
      <c r="B274" t="s">
        <v>1294</v>
      </c>
      <c r="C274" t="s">
        <v>389</v>
      </c>
      <c r="D274" t="str">
        <f>VLOOKUP(C274,'Price Table 8 OHB'!A:B,2,FALSE)</f>
        <v>Ground Control Centre Development</v>
      </c>
      <c r="E274" t="s">
        <v>966</v>
      </c>
      <c r="AE274" s="403">
        <f t="shared" si="82"/>
        <v>0</v>
      </c>
    </row>
    <row r="275" spans="1:31" outlineLevel="1">
      <c r="E275" t="s">
        <v>794</v>
      </c>
      <c r="H275" s="118"/>
      <c r="I275" s="115">
        <f>I272+I273+I274</f>
        <v>0</v>
      </c>
      <c r="K275" s="115">
        <f>K272+K273+K274</f>
        <v>0</v>
      </c>
      <c r="M275" s="115">
        <f t="shared" ref="M275:AD275" si="83">M272+M273+M274</f>
        <v>0</v>
      </c>
      <c r="O275" s="115">
        <f t="shared" si="83"/>
        <v>127.55611447734462</v>
      </c>
      <c r="Q275" s="115">
        <f t="shared" si="83"/>
        <v>0</v>
      </c>
      <c r="S275" s="115">
        <f t="shared" si="83"/>
        <v>0</v>
      </c>
      <c r="U275" s="115">
        <f t="shared" si="83"/>
        <v>0</v>
      </c>
      <c r="W275" s="115">
        <f t="shared" si="83"/>
        <v>0</v>
      </c>
      <c r="Y275" s="115">
        <f t="shared" si="83"/>
        <v>0</v>
      </c>
      <c r="AA275" s="115">
        <f t="shared" si="83"/>
        <v>0</v>
      </c>
      <c r="AC275" s="115">
        <f t="shared" si="83"/>
        <v>0</v>
      </c>
      <c r="AD275" s="115">
        <f t="shared" si="83"/>
        <v>0</v>
      </c>
      <c r="AE275" s="403">
        <f>SUM(I275:AD275)</f>
        <v>127.55611447734462</v>
      </c>
    </row>
    <row r="276" spans="1:31" outlineLevel="1">
      <c r="A276" s="90"/>
      <c r="B276" s="91"/>
      <c r="C276" s="90"/>
      <c r="D276" s="90"/>
      <c r="E276" s="90"/>
      <c r="F276" s="90"/>
      <c r="G276" s="90"/>
      <c r="H276" s="414"/>
      <c r="I276" s="414"/>
      <c r="J276" s="414"/>
      <c r="K276" s="414"/>
      <c r="L276" s="414"/>
      <c r="M276" s="414"/>
      <c r="N276" s="414"/>
      <c r="O276" s="414"/>
      <c r="P276" s="414"/>
      <c r="Q276" s="414"/>
      <c r="R276" s="414"/>
      <c r="S276" s="414"/>
      <c r="T276" s="414"/>
      <c r="U276" s="414"/>
      <c r="V276" s="414"/>
      <c r="W276" s="414"/>
      <c r="X276" s="414"/>
      <c r="Y276" s="414"/>
      <c r="Z276" s="414"/>
      <c r="AA276" s="414"/>
      <c r="AB276" s="414"/>
      <c r="AC276" s="414"/>
      <c r="AD276" s="414"/>
    </row>
    <row r="277" spans="1:31" outlineLevel="1">
      <c r="A277" t="s">
        <v>1136</v>
      </c>
      <c r="C277" s="17"/>
      <c r="D277" s="17"/>
      <c r="E277" t="s">
        <v>791</v>
      </c>
      <c r="S277" s="115">
        <v>720</v>
      </c>
    </row>
    <row r="278" spans="1:31" outlineLevel="1">
      <c r="A278">
        <v>620334</v>
      </c>
      <c r="B278" t="s">
        <v>1295</v>
      </c>
      <c r="C278" t="s">
        <v>389</v>
      </c>
      <c r="D278" t="str">
        <f>VLOOKUP(C278,'Price Table 8 OHB'!A:B,2,FALSE)</f>
        <v>Ground Control Centre Development</v>
      </c>
      <c r="E278" t="s">
        <v>792</v>
      </c>
      <c r="I278" s="115">
        <f>I277*U15*0.001</f>
        <v>0</v>
      </c>
      <c r="K278" s="115">
        <f>K277*U15*0.001</f>
        <v>0</v>
      </c>
      <c r="M278" s="115">
        <f>M277*U15*0.001</f>
        <v>0</v>
      </c>
      <c r="O278" s="115">
        <f>O277*U15*0.001</f>
        <v>0</v>
      </c>
      <c r="Q278" s="115">
        <v>0</v>
      </c>
      <c r="S278" s="115">
        <f>S277*U15*0.001</f>
        <v>71.750314393506343</v>
      </c>
      <c r="U278" s="115">
        <f>U277*U15*0.001</f>
        <v>0</v>
      </c>
      <c r="W278" s="115">
        <f>W277*U15*0.001</f>
        <v>0</v>
      </c>
      <c r="Y278" s="115">
        <f>Y277*U15*0.001</f>
        <v>0</v>
      </c>
      <c r="AA278" s="115">
        <f>AA277*U15*0.001</f>
        <v>0</v>
      </c>
      <c r="AC278" s="115">
        <f>AC277*U15*0.001</f>
        <v>0</v>
      </c>
      <c r="AD278" s="115">
        <f>AD277*U15*0.001</f>
        <v>0</v>
      </c>
      <c r="AE278" s="403">
        <f t="shared" ref="AE278:AE280" si="84">SUM(I278:AD278)</f>
        <v>71.750314393506343</v>
      </c>
    </row>
    <row r="279" spans="1:31" outlineLevel="1">
      <c r="A279">
        <v>620334</v>
      </c>
      <c r="B279" t="s">
        <v>1295</v>
      </c>
      <c r="C279" t="s">
        <v>389</v>
      </c>
      <c r="D279" t="str">
        <f>VLOOKUP(C279,'Price Table 8 OHB'!A:B,2,FALSE)</f>
        <v>Ground Control Centre Development</v>
      </c>
      <c r="E279" t="s">
        <v>793</v>
      </c>
      <c r="AE279" s="403">
        <f t="shared" si="84"/>
        <v>0</v>
      </c>
    </row>
    <row r="280" spans="1:31" outlineLevel="1">
      <c r="A280">
        <v>620334</v>
      </c>
      <c r="B280" t="s">
        <v>1295</v>
      </c>
      <c r="C280" t="s">
        <v>389</v>
      </c>
      <c r="D280" t="str">
        <f>VLOOKUP(C280,'Price Table 8 OHB'!A:B,2,FALSE)</f>
        <v>Ground Control Centre Development</v>
      </c>
      <c r="E280" t="s">
        <v>966</v>
      </c>
      <c r="AE280" s="403">
        <f t="shared" si="84"/>
        <v>0</v>
      </c>
    </row>
    <row r="281" spans="1:31" outlineLevel="1">
      <c r="E281" t="s">
        <v>794</v>
      </c>
      <c r="H281" s="118"/>
      <c r="I281" s="115">
        <f>I278+I279+I280</f>
        <v>0</v>
      </c>
      <c r="K281" s="115">
        <f>K278+K279+K280</f>
        <v>0</v>
      </c>
      <c r="M281" s="115">
        <f t="shared" ref="M281:AD281" si="85">M278+M279+M280</f>
        <v>0</v>
      </c>
      <c r="O281" s="115">
        <f t="shared" si="85"/>
        <v>0</v>
      </c>
      <c r="Q281" s="115">
        <f>Q278+Q279+Q280</f>
        <v>0</v>
      </c>
      <c r="S281" s="115">
        <f t="shared" si="85"/>
        <v>71.750314393506343</v>
      </c>
      <c r="U281" s="115">
        <f t="shared" si="85"/>
        <v>0</v>
      </c>
      <c r="W281" s="115">
        <f t="shared" si="85"/>
        <v>0</v>
      </c>
      <c r="Y281" s="115">
        <f t="shared" si="85"/>
        <v>0</v>
      </c>
      <c r="AA281" s="115">
        <f t="shared" si="85"/>
        <v>0</v>
      </c>
      <c r="AC281" s="115">
        <f t="shared" si="85"/>
        <v>0</v>
      </c>
      <c r="AD281" s="115">
        <f t="shared" si="85"/>
        <v>0</v>
      </c>
      <c r="AE281" s="403">
        <f>SUM(I281:AD281)</f>
        <v>71.750314393506343</v>
      </c>
    </row>
    <row r="282" spans="1:31" outlineLevel="1">
      <c r="A282" s="90"/>
      <c r="B282" s="91"/>
      <c r="C282" s="90"/>
      <c r="D282" s="90"/>
      <c r="E282" s="90"/>
      <c r="F282" s="90"/>
      <c r="G282" s="90"/>
      <c r="H282" s="414"/>
      <c r="I282" s="414"/>
      <c r="J282" s="414"/>
      <c r="K282" s="414"/>
      <c r="L282" s="414"/>
      <c r="M282" s="414"/>
      <c r="N282" s="414"/>
      <c r="O282" s="414"/>
      <c r="P282" s="414"/>
      <c r="Q282" s="414"/>
      <c r="R282" s="414"/>
      <c r="S282" s="414"/>
      <c r="T282" s="414"/>
      <c r="U282" s="414"/>
      <c r="V282" s="414"/>
      <c r="W282" s="414"/>
      <c r="X282" s="414"/>
      <c r="Y282" s="414"/>
      <c r="Z282" s="414"/>
      <c r="AA282" s="414"/>
      <c r="AB282" s="414"/>
      <c r="AC282" s="414"/>
      <c r="AD282" s="414"/>
    </row>
    <row r="283" spans="1:31" outlineLevel="1">
      <c r="A283" t="s">
        <v>1142</v>
      </c>
      <c r="C283" s="17"/>
      <c r="D283" s="17"/>
      <c r="E283" t="s">
        <v>791</v>
      </c>
      <c r="U283" s="115">
        <v>440</v>
      </c>
    </row>
    <row r="284" spans="1:31" outlineLevel="1">
      <c r="A284">
        <v>620520</v>
      </c>
      <c r="B284" t="s">
        <v>1143</v>
      </c>
      <c r="C284" t="s">
        <v>389</v>
      </c>
      <c r="D284" t="str">
        <f>VLOOKUP(C284,'Price Table 8 OHB'!A:B,2,FALSE)</f>
        <v>Ground Control Centre Development</v>
      </c>
      <c r="E284" t="s">
        <v>792</v>
      </c>
      <c r="I284" s="115">
        <f>I283*U15*0.001</f>
        <v>0</v>
      </c>
      <c r="K284" s="115">
        <f>K283*U15*0.001</f>
        <v>0</v>
      </c>
      <c r="M284" s="115">
        <f>M283*U15*0.001</f>
        <v>0</v>
      </c>
      <c r="O284" s="115">
        <f>O283*U15*0.001</f>
        <v>0</v>
      </c>
      <c r="Q284" s="115">
        <f>Q283*U15*0.001</f>
        <v>0</v>
      </c>
      <c r="S284" s="115">
        <f>S283*U15*0.001</f>
        <v>0</v>
      </c>
      <c r="U284" s="115">
        <f>U283*U15*0.001</f>
        <v>43.847414351587211</v>
      </c>
      <c r="W284" s="115">
        <f>W283*U15*0.001</f>
        <v>0</v>
      </c>
      <c r="Y284" s="115">
        <f>Y283*U15*0.001</f>
        <v>0</v>
      </c>
      <c r="AA284" s="115">
        <f>AA283*U15*0.001</f>
        <v>0</v>
      </c>
      <c r="AC284" s="115">
        <f>AC283*U15*0.001</f>
        <v>0</v>
      </c>
      <c r="AD284" s="115">
        <f>AD283*U15*0.001</f>
        <v>0</v>
      </c>
      <c r="AE284" s="403">
        <f t="shared" ref="AE284:AE286" si="86">SUM(I284:AD284)</f>
        <v>43.847414351587211</v>
      </c>
    </row>
    <row r="285" spans="1:31" outlineLevel="1">
      <c r="A285">
        <v>620520</v>
      </c>
      <c r="B285" t="s">
        <v>1143</v>
      </c>
      <c r="C285" t="s">
        <v>389</v>
      </c>
      <c r="D285" t="str">
        <f>VLOOKUP(C285,'Price Table 8 OHB'!A:B,2,FALSE)</f>
        <v>Ground Control Centre Development</v>
      </c>
      <c r="E285" t="s">
        <v>793</v>
      </c>
      <c r="U285" s="115">
        <v>20</v>
      </c>
      <c r="AE285" s="403">
        <f t="shared" si="86"/>
        <v>20</v>
      </c>
    </row>
    <row r="286" spans="1:31" outlineLevel="1">
      <c r="A286">
        <v>620520</v>
      </c>
      <c r="B286" t="s">
        <v>1143</v>
      </c>
      <c r="C286" t="s">
        <v>389</v>
      </c>
      <c r="D286" t="str">
        <f>VLOOKUP(C286,'Price Table 8 OHB'!A:B,2,FALSE)</f>
        <v>Ground Control Centre Development</v>
      </c>
      <c r="E286" t="s">
        <v>966</v>
      </c>
      <c r="AE286" s="403">
        <f t="shared" si="86"/>
        <v>0</v>
      </c>
    </row>
    <row r="287" spans="1:31" outlineLevel="1">
      <c r="E287" t="s">
        <v>794</v>
      </c>
      <c r="H287" s="118"/>
      <c r="I287" s="115">
        <f>I284+I285+I286</f>
        <v>0</v>
      </c>
      <c r="K287" s="115">
        <f>K284+K285+K286</f>
        <v>0</v>
      </c>
      <c r="M287" s="115">
        <f t="shared" ref="M287:AD287" si="87">M284+M285+M286</f>
        <v>0</v>
      </c>
      <c r="O287" s="115">
        <f t="shared" si="87"/>
        <v>0</v>
      </c>
      <c r="Q287" s="115">
        <f t="shared" si="87"/>
        <v>0</v>
      </c>
      <c r="S287" s="115">
        <f t="shared" si="87"/>
        <v>0</v>
      </c>
      <c r="U287" s="115">
        <f t="shared" si="87"/>
        <v>63.847414351587211</v>
      </c>
      <c r="W287" s="115">
        <f t="shared" si="87"/>
        <v>0</v>
      </c>
      <c r="Y287" s="115">
        <f t="shared" si="87"/>
        <v>0</v>
      </c>
      <c r="AA287" s="115">
        <f t="shared" si="87"/>
        <v>0</v>
      </c>
      <c r="AC287" s="115">
        <f t="shared" si="87"/>
        <v>0</v>
      </c>
      <c r="AD287" s="115">
        <f t="shared" si="87"/>
        <v>0</v>
      </c>
      <c r="AE287" s="403">
        <f>SUM(I287:AD287)</f>
        <v>63.847414351587211</v>
      </c>
    </row>
    <row r="288" spans="1:31" outlineLevel="1">
      <c r="A288" s="90"/>
      <c r="B288" s="91"/>
      <c r="C288" s="90"/>
      <c r="D288" s="90"/>
      <c r="E288" s="90"/>
      <c r="F288" s="90"/>
      <c r="G288" s="90"/>
      <c r="H288" s="414"/>
      <c r="I288" s="414"/>
      <c r="J288" s="414"/>
      <c r="K288" s="414"/>
      <c r="L288" s="414"/>
      <c r="M288" s="414"/>
      <c r="N288" s="414"/>
      <c r="O288" s="414"/>
      <c r="P288" s="414"/>
      <c r="Q288" s="414"/>
      <c r="R288" s="414"/>
      <c r="S288" s="414"/>
      <c r="T288" s="414"/>
      <c r="U288" s="414"/>
      <c r="V288" s="414"/>
      <c r="W288" s="414"/>
      <c r="X288" s="414"/>
      <c r="Y288" s="414"/>
      <c r="Z288" s="414"/>
      <c r="AA288" s="414"/>
      <c r="AB288" s="414"/>
      <c r="AC288" s="414"/>
      <c r="AD288" s="414"/>
    </row>
    <row r="289" spans="1:31" outlineLevel="1">
      <c r="A289" t="s">
        <v>1146</v>
      </c>
      <c r="C289" s="17"/>
      <c r="D289" s="17"/>
      <c r="E289" t="s">
        <v>791</v>
      </c>
      <c r="U289" s="115">
        <v>80</v>
      </c>
    </row>
    <row r="290" spans="1:31" outlineLevel="1">
      <c r="A290">
        <v>630300</v>
      </c>
      <c r="B290" t="s">
        <v>442</v>
      </c>
      <c r="C290" t="s">
        <v>389</v>
      </c>
      <c r="D290" t="str">
        <f>VLOOKUP(C290,'Price Table 8 OHB'!A:B,2,FALSE)</f>
        <v>Ground Control Centre Development</v>
      </c>
      <c r="E290" t="s">
        <v>792</v>
      </c>
      <c r="I290" s="115">
        <f>I289*U15*0.001</f>
        <v>0</v>
      </c>
      <c r="K290" s="115">
        <f>K289*U15*0.001</f>
        <v>0</v>
      </c>
      <c r="M290" s="115">
        <f>M289*U15*0.001</f>
        <v>0</v>
      </c>
      <c r="O290" s="115">
        <f>O289*U15*0.001</f>
        <v>0</v>
      </c>
      <c r="Q290" s="115">
        <f>Q289*U15*0.001</f>
        <v>0</v>
      </c>
      <c r="S290" s="115">
        <f>S289*U15*0.001</f>
        <v>0</v>
      </c>
      <c r="U290" s="115">
        <f>U289*U15*0.001</f>
        <v>7.9722571548340389</v>
      </c>
      <c r="W290" s="115">
        <f>W289*U15*0.001</f>
        <v>0</v>
      </c>
      <c r="Y290" s="115">
        <f>Y289*U15*0.001</f>
        <v>0</v>
      </c>
      <c r="AA290" s="115">
        <f>AA289*U15*0.001</f>
        <v>0</v>
      </c>
      <c r="AC290" s="115">
        <f>AC289*U15*0.001</f>
        <v>0</v>
      </c>
      <c r="AD290" s="115">
        <f>AD289*U15*0.001</f>
        <v>0</v>
      </c>
      <c r="AE290" s="403">
        <f t="shared" ref="AE290:AE292" si="88">SUM(I290:AD290)</f>
        <v>7.9722571548340389</v>
      </c>
    </row>
    <row r="291" spans="1:31" outlineLevel="1">
      <c r="A291">
        <v>630300</v>
      </c>
      <c r="B291" t="s">
        <v>442</v>
      </c>
      <c r="D291" t="e">
        <f>VLOOKUP(C291,'Price Table 8 OHB'!A:B,2,FALSE)</f>
        <v>#N/A</v>
      </c>
      <c r="E291" t="s">
        <v>793</v>
      </c>
      <c r="AE291" s="403">
        <f t="shared" si="88"/>
        <v>0</v>
      </c>
    </row>
    <row r="292" spans="1:31" outlineLevel="1">
      <c r="A292">
        <v>630300</v>
      </c>
      <c r="B292" t="s">
        <v>442</v>
      </c>
      <c r="C292" t="s">
        <v>389</v>
      </c>
      <c r="D292" t="str">
        <f>VLOOKUP(C292,'Price Table 8 OHB'!A:B,2,FALSE)</f>
        <v>Ground Control Centre Development</v>
      </c>
      <c r="E292" t="s">
        <v>966</v>
      </c>
      <c r="AE292" s="403">
        <f t="shared" si="88"/>
        <v>0</v>
      </c>
    </row>
    <row r="293" spans="1:31" outlineLevel="1">
      <c r="E293" t="s">
        <v>794</v>
      </c>
      <c r="I293" s="115">
        <f>I290+I291+I292</f>
        <v>0</v>
      </c>
      <c r="K293" s="115">
        <f>K290+K291+K292</f>
        <v>0</v>
      </c>
      <c r="M293" s="115">
        <f t="shared" ref="M293:AD293" si="89">M290+M291+M292</f>
        <v>0</v>
      </c>
      <c r="O293" s="115">
        <f t="shared" si="89"/>
        <v>0</v>
      </c>
      <c r="Q293" s="115">
        <f t="shared" si="89"/>
        <v>0</v>
      </c>
      <c r="S293" s="115">
        <f t="shared" si="89"/>
        <v>0</v>
      </c>
      <c r="U293" s="115">
        <f t="shared" si="89"/>
        <v>7.9722571548340389</v>
      </c>
      <c r="W293" s="115">
        <f t="shared" si="89"/>
        <v>0</v>
      </c>
      <c r="Y293" s="115">
        <f t="shared" si="89"/>
        <v>0</v>
      </c>
      <c r="AA293" s="115">
        <f t="shared" si="89"/>
        <v>0</v>
      </c>
      <c r="AC293" s="115">
        <f t="shared" si="89"/>
        <v>0</v>
      </c>
      <c r="AD293" s="115">
        <f t="shared" si="89"/>
        <v>0</v>
      </c>
      <c r="AE293" s="403">
        <f>SUM(I293:AD293)</f>
        <v>7.9722571548340389</v>
      </c>
    </row>
    <row r="294" spans="1:31" outlineLevel="1">
      <c r="A294" s="90"/>
      <c r="B294" s="91"/>
      <c r="C294" s="90"/>
      <c r="D294" s="90"/>
      <c r="E294" s="90"/>
      <c r="F294" s="90"/>
      <c r="G294" s="90"/>
      <c r="H294" s="414"/>
      <c r="I294" s="414"/>
      <c r="J294" s="414"/>
      <c r="K294" s="414"/>
      <c r="L294" s="414"/>
      <c r="M294" s="414"/>
      <c r="N294" s="414"/>
      <c r="O294" s="414"/>
      <c r="P294" s="414"/>
      <c r="Q294" s="414"/>
      <c r="R294" s="414"/>
      <c r="S294" s="414"/>
      <c r="T294" s="414"/>
      <c r="U294" s="414"/>
      <c r="V294" s="414"/>
      <c r="W294" s="414"/>
      <c r="X294" s="414"/>
      <c r="Y294" s="414"/>
      <c r="Z294" s="414"/>
      <c r="AA294" s="414"/>
      <c r="AB294" s="414"/>
      <c r="AC294" s="414"/>
      <c r="AD294" s="414"/>
    </row>
    <row r="295" spans="1:31" outlineLevel="1">
      <c r="A295" t="s">
        <v>1148</v>
      </c>
      <c r="C295" s="17"/>
      <c r="D295" s="17"/>
      <c r="E295" t="s">
        <v>791</v>
      </c>
      <c r="U295" s="115">
        <v>170</v>
      </c>
      <c r="W295" s="115">
        <v>250</v>
      </c>
      <c r="Y295" s="115">
        <v>250</v>
      </c>
      <c r="AA295" s="115">
        <v>250</v>
      </c>
      <c r="AC295" s="115">
        <v>250</v>
      </c>
      <c r="AD295" s="115">
        <v>250</v>
      </c>
    </row>
    <row r="296" spans="1:31" outlineLevel="1">
      <c r="A296">
        <v>640110</v>
      </c>
      <c r="B296" t="s">
        <v>1149</v>
      </c>
      <c r="C296" t="s">
        <v>434</v>
      </c>
      <c r="D296" t="str">
        <f>VLOOKUP(C296,'Price Table 8 OHB'!A:B,2,FALSE)</f>
        <v>Mission Operations</v>
      </c>
      <c r="E296" t="s">
        <v>792</v>
      </c>
      <c r="I296" s="115">
        <f>I295*U15*0.001</f>
        <v>0</v>
      </c>
      <c r="K296" s="115">
        <f>K295*U15*0.001</f>
        <v>0</v>
      </c>
      <c r="M296" s="115">
        <f>M295*U15*0.001</f>
        <v>0</v>
      </c>
      <c r="O296" s="115">
        <f>O295*U15*0.001</f>
        <v>0</v>
      </c>
      <c r="Q296" s="115">
        <f>Q295*U15*0.001</f>
        <v>0</v>
      </c>
      <c r="S296" s="115">
        <f>S295*U15*0.001</f>
        <v>0</v>
      </c>
      <c r="U296" s="115">
        <f>U295*U15*0.001</f>
        <v>16.941046454022334</v>
      </c>
      <c r="W296" s="115">
        <f>W295*U15*0.001</f>
        <v>24.913303608856371</v>
      </c>
      <c r="Y296" s="115">
        <f>Y295*U15*0.001</f>
        <v>24.913303608856371</v>
      </c>
      <c r="AA296" s="115">
        <f>AA295*U15*0.001</f>
        <v>24.913303608856371</v>
      </c>
      <c r="AC296" s="115">
        <f>AC295*U15*0.001</f>
        <v>24.913303608856371</v>
      </c>
      <c r="AD296" s="115">
        <f>AD295*U15*0.001</f>
        <v>24.913303608856371</v>
      </c>
      <c r="AE296" s="403">
        <f t="shared" ref="AE296:AE298" si="90">SUM(I296:AD296)</f>
        <v>141.50756449830419</v>
      </c>
    </row>
    <row r="297" spans="1:31" outlineLevel="1">
      <c r="B297" t="s">
        <v>1149</v>
      </c>
      <c r="D297" t="e">
        <f>VLOOKUP(C297,'Price Table 8 OHB'!A:B,2,FALSE)</f>
        <v>#N/A</v>
      </c>
      <c r="E297" t="s">
        <v>793</v>
      </c>
      <c r="AE297" s="403">
        <f t="shared" si="90"/>
        <v>0</v>
      </c>
    </row>
    <row r="298" spans="1:31" outlineLevel="1">
      <c r="B298" t="s">
        <v>1149</v>
      </c>
      <c r="C298" t="s">
        <v>434</v>
      </c>
      <c r="D298" t="str">
        <f>VLOOKUP(C298,'Price Table 8 OHB'!A:B,2,FALSE)</f>
        <v>Mission Operations</v>
      </c>
      <c r="E298" t="s">
        <v>966</v>
      </c>
      <c r="AE298" s="403">
        <f t="shared" si="90"/>
        <v>0</v>
      </c>
    </row>
    <row r="299" spans="1:31" outlineLevel="1">
      <c r="E299" t="s">
        <v>794</v>
      </c>
      <c r="I299" s="115">
        <f>I296+K297+K298</f>
        <v>0</v>
      </c>
      <c r="K299" s="115">
        <f>K296+K297+K298</f>
        <v>0</v>
      </c>
      <c r="M299" s="115">
        <f t="shared" ref="M299:AD299" si="91">M296+M297+M298</f>
        <v>0</v>
      </c>
      <c r="O299" s="115">
        <f t="shared" si="91"/>
        <v>0</v>
      </c>
      <c r="Q299" s="115">
        <f t="shared" si="91"/>
        <v>0</v>
      </c>
      <c r="S299" s="115">
        <f t="shared" si="91"/>
        <v>0</v>
      </c>
      <c r="U299" s="115">
        <f t="shared" si="91"/>
        <v>16.941046454022334</v>
      </c>
      <c r="W299" s="115">
        <f t="shared" si="91"/>
        <v>24.913303608856371</v>
      </c>
      <c r="Y299" s="115">
        <f t="shared" si="91"/>
        <v>24.913303608856371</v>
      </c>
      <c r="AA299" s="115">
        <f t="shared" si="91"/>
        <v>24.913303608856371</v>
      </c>
      <c r="AC299" s="115">
        <f t="shared" si="91"/>
        <v>24.913303608856371</v>
      </c>
      <c r="AD299" s="115">
        <f t="shared" si="91"/>
        <v>24.913303608856371</v>
      </c>
      <c r="AE299" s="403">
        <f>SUM(I299:AD299)</f>
        <v>141.50756449830419</v>
      </c>
    </row>
    <row r="300" spans="1:31" outlineLevel="1">
      <c r="A300" s="90"/>
      <c r="B300" s="91"/>
      <c r="C300" s="90"/>
      <c r="D300" s="90"/>
      <c r="E300" s="90"/>
      <c r="F300" s="90"/>
      <c r="G300" s="90"/>
      <c r="H300" s="414"/>
      <c r="I300" s="414"/>
      <c r="J300" s="414"/>
      <c r="K300" s="414"/>
      <c r="L300" s="414"/>
      <c r="M300" s="414"/>
      <c r="N300" s="414"/>
      <c r="O300" s="414"/>
      <c r="P300" s="414"/>
      <c r="Q300" s="414"/>
      <c r="R300" s="414"/>
      <c r="S300" s="414"/>
      <c r="T300" s="414"/>
      <c r="U300" s="414"/>
      <c r="V300" s="414"/>
      <c r="W300" s="414"/>
      <c r="X300" s="414"/>
      <c r="Y300" s="414"/>
      <c r="Z300" s="414"/>
      <c r="AA300" s="414"/>
      <c r="AB300" s="414"/>
      <c r="AC300" s="414"/>
      <c r="AD300" s="414"/>
    </row>
    <row r="301" spans="1:31" outlineLevel="1">
      <c r="A301" t="s">
        <v>1152</v>
      </c>
      <c r="C301" s="17"/>
      <c r="D301" s="17"/>
      <c r="E301" t="s">
        <v>791</v>
      </c>
      <c r="Y301" s="115">
        <v>80</v>
      </c>
    </row>
    <row r="302" spans="1:31" outlineLevel="1">
      <c r="A302">
        <v>720300</v>
      </c>
      <c r="B302" t="s">
        <v>442</v>
      </c>
      <c r="C302" t="s">
        <v>434</v>
      </c>
      <c r="D302" t="str">
        <f>VLOOKUP(C302,'Price Table 8 OHB'!A:B,2,FALSE)</f>
        <v>Mission Operations</v>
      </c>
      <c r="E302" t="s">
        <v>792</v>
      </c>
      <c r="I302" s="115">
        <f>I301*U15*0.001</f>
        <v>0</v>
      </c>
      <c r="K302" s="115">
        <f>K301*U15*0.001</f>
        <v>0</v>
      </c>
      <c r="M302" s="115">
        <f>M301*U15*0.001</f>
        <v>0</v>
      </c>
      <c r="O302" s="115">
        <f>O301*U15*0.001</f>
        <v>0</v>
      </c>
      <c r="Q302" s="115">
        <f>Q301*U15*0.001</f>
        <v>0</v>
      </c>
      <c r="S302" s="115">
        <f>S301*U15*0.001</f>
        <v>0</v>
      </c>
      <c r="U302" s="115">
        <f>U301*U15*0.001</f>
        <v>0</v>
      </c>
      <c r="W302" s="115">
        <f>W301*U15*0.001</f>
        <v>0</v>
      </c>
      <c r="Y302" s="115">
        <f>Y301*U15*0.001</f>
        <v>7.9722571548340389</v>
      </c>
      <c r="AA302" s="115">
        <f>AA301*U15*0.001</f>
        <v>0</v>
      </c>
      <c r="AC302" s="115">
        <f>AC301*U15*0.001</f>
        <v>0</v>
      </c>
      <c r="AD302" s="115">
        <f>AD301*U15*0.001</f>
        <v>0</v>
      </c>
      <c r="AE302" s="403">
        <f t="shared" ref="AE302:AE304" si="92">SUM(I302:AD302)</f>
        <v>7.9722571548340389</v>
      </c>
    </row>
    <row r="303" spans="1:31" outlineLevel="1">
      <c r="A303">
        <v>720300</v>
      </c>
      <c r="B303" t="s">
        <v>442</v>
      </c>
      <c r="D303" t="e">
        <f>VLOOKUP(C303,'Price Table 8 OHB'!A:B,2,FALSE)</f>
        <v>#N/A</v>
      </c>
      <c r="E303" t="s">
        <v>1153</v>
      </c>
      <c r="AE303" s="403">
        <f t="shared" si="92"/>
        <v>0</v>
      </c>
    </row>
    <row r="304" spans="1:31" outlineLevel="1">
      <c r="A304">
        <v>720300</v>
      </c>
      <c r="B304" t="s">
        <v>442</v>
      </c>
      <c r="C304" t="s">
        <v>434</v>
      </c>
      <c r="D304" t="str">
        <f>VLOOKUP(C304,'Price Table 8 OHB'!A:B,2,FALSE)</f>
        <v>Mission Operations</v>
      </c>
      <c r="E304" t="s">
        <v>966</v>
      </c>
      <c r="AE304" s="403">
        <f t="shared" si="92"/>
        <v>0</v>
      </c>
    </row>
    <row r="305" spans="1:31" outlineLevel="1">
      <c r="E305" t="s">
        <v>794</v>
      </c>
      <c r="I305" s="115">
        <f>I302+I303+I304</f>
        <v>0</v>
      </c>
      <c r="K305" s="115">
        <f>K302+K303+K304</f>
        <v>0</v>
      </c>
      <c r="M305" s="115">
        <f t="shared" ref="M305:AD305" si="93">M302+M303+M304</f>
        <v>0</v>
      </c>
      <c r="O305" s="115">
        <f t="shared" si="93"/>
        <v>0</v>
      </c>
      <c r="Q305" s="115">
        <f t="shared" si="93"/>
        <v>0</v>
      </c>
      <c r="S305" s="115">
        <f t="shared" si="93"/>
        <v>0</v>
      </c>
      <c r="U305" s="115">
        <f t="shared" si="93"/>
        <v>0</v>
      </c>
      <c r="W305" s="115">
        <f t="shared" si="93"/>
        <v>0</v>
      </c>
      <c r="Y305" s="115">
        <f t="shared" si="93"/>
        <v>7.9722571548340389</v>
      </c>
      <c r="AA305" s="115">
        <f t="shared" si="93"/>
        <v>0</v>
      </c>
      <c r="AC305" s="115">
        <f t="shared" si="93"/>
        <v>0</v>
      </c>
      <c r="AD305" s="115">
        <f t="shared" si="93"/>
        <v>0</v>
      </c>
      <c r="AE305" s="403">
        <f>SUM(I305:AD305)</f>
        <v>7.9722571548340389</v>
      </c>
    </row>
    <row r="306" spans="1:31">
      <c r="A306" s="73"/>
      <c r="B306" s="70"/>
      <c r="C306" s="73"/>
      <c r="D306" s="73"/>
      <c r="E306" s="73"/>
      <c r="F306" s="73"/>
      <c r="G306" s="73"/>
      <c r="H306" s="407"/>
      <c r="I306" s="407"/>
      <c r="J306" s="407"/>
      <c r="K306" s="407"/>
      <c r="L306" s="407"/>
      <c r="M306" s="407"/>
      <c r="N306" s="407"/>
      <c r="O306" s="407"/>
      <c r="P306" s="407"/>
      <c r="Q306" s="407"/>
      <c r="R306" s="407"/>
      <c r="S306" s="407"/>
      <c r="T306" s="407"/>
      <c r="U306" s="407"/>
      <c r="V306" s="407"/>
      <c r="W306" s="407"/>
      <c r="X306" s="407"/>
      <c r="Y306" s="407"/>
      <c r="Z306" s="407"/>
      <c r="AA306" s="407"/>
      <c r="AB306" s="407"/>
      <c r="AC306" s="407"/>
      <c r="AD306" s="407"/>
    </row>
    <row r="307" spans="1:31">
      <c r="A307" s="73"/>
      <c r="B307" s="73" t="s">
        <v>387</v>
      </c>
      <c r="C307" s="73"/>
      <c r="D307" s="73"/>
      <c r="E307" s="73" t="s">
        <v>791</v>
      </c>
      <c r="F307" s="73"/>
      <c r="G307" s="73"/>
      <c r="H307" s="407"/>
      <c r="I307" s="407">
        <f>I265+I271+I277+I283+I289+I295+I301</f>
        <v>0</v>
      </c>
      <c r="J307" s="407"/>
      <c r="K307" s="407">
        <f>K265+K271+K277+K283+K289+K295+K301</f>
        <v>0</v>
      </c>
      <c r="L307" s="407"/>
      <c r="M307" s="407">
        <f t="shared" ref="M307:AD307" si="94">M265+M271+M277+M283+M289+M295+M301</f>
        <v>1470</v>
      </c>
      <c r="N307" s="407"/>
      <c r="O307" s="407">
        <f t="shared" si="94"/>
        <v>2750</v>
      </c>
      <c r="P307" s="407"/>
      <c r="Q307" s="407">
        <f t="shared" si="94"/>
        <v>1470</v>
      </c>
      <c r="R307" s="407"/>
      <c r="S307" s="407">
        <f t="shared" si="94"/>
        <v>1945</v>
      </c>
      <c r="T307" s="407"/>
      <c r="U307" s="407">
        <f t="shared" si="94"/>
        <v>690</v>
      </c>
      <c r="V307" s="407"/>
      <c r="W307" s="407">
        <f t="shared" si="94"/>
        <v>250</v>
      </c>
      <c r="X307" s="407"/>
      <c r="Y307" s="407">
        <f t="shared" si="94"/>
        <v>330</v>
      </c>
      <c r="Z307" s="407"/>
      <c r="AA307" s="407">
        <f t="shared" si="94"/>
        <v>250</v>
      </c>
      <c r="AB307" s="407"/>
      <c r="AC307" s="407">
        <f t="shared" si="94"/>
        <v>250</v>
      </c>
      <c r="AD307" s="407">
        <f t="shared" si="94"/>
        <v>250</v>
      </c>
    </row>
    <row r="308" spans="1:31">
      <c r="A308" s="73"/>
      <c r="B308" s="73" t="s">
        <v>387</v>
      </c>
      <c r="C308" s="73"/>
      <c r="D308" s="73"/>
      <c r="E308" s="73" t="s">
        <v>792</v>
      </c>
      <c r="F308" s="73"/>
      <c r="G308" s="73"/>
      <c r="H308" s="407"/>
      <c r="I308" s="407">
        <f>I307*U15*0.001</f>
        <v>0</v>
      </c>
      <c r="J308" s="407"/>
      <c r="K308" s="407">
        <f>K307*U15*0.001</f>
        <v>0</v>
      </c>
      <c r="L308" s="407"/>
      <c r="M308" s="407">
        <f>M307*U15*0.001</f>
        <v>146.49022522007547</v>
      </c>
      <c r="N308" s="407"/>
      <c r="O308" s="407">
        <f>O307*U15*0.001</f>
        <v>274.04633969742008</v>
      </c>
      <c r="P308" s="407"/>
      <c r="Q308" s="407">
        <f>Q307*U15*0.001</f>
        <v>146.49022522007547</v>
      </c>
      <c r="R308" s="407"/>
      <c r="S308" s="407">
        <f>S307*U15*0.001</f>
        <v>193.82550207690258</v>
      </c>
      <c r="T308" s="407"/>
      <c r="U308" s="407">
        <f>U307*U15*0.001</f>
        <v>68.760717960443586</v>
      </c>
      <c r="V308" s="407"/>
      <c r="W308" s="407">
        <f>W307*U15*0.001</f>
        <v>24.913303608856371</v>
      </c>
      <c r="X308" s="407"/>
      <c r="Y308" s="407">
        <f>Y307*U15*0.001</f>
        <v>32.885560763690407</v>
      </c>
      <c r="Z308" s="407"/>
      <c r="AA308" s="407">
        <f>AA307*U15*0.001</f>
        <v>24.913303608856371</v>
      </c>
      <c r="AB308" s="407"/>
      <c r="AC308" s="407">
        <f>AC307*U15*0.001</f>
        <v>24.913303608856371</v>
      </c>
      <c r="AD308" s="407">
        <f>AD307*U15*0.001</f>
        <v>24.913303608856371</v>
      </c>
      <c r="AE308" s="403">
        <f t="shared" ref="AE308:AE310" si="95">SUM(I308:AD308)</f>
        <v>962.15178537403301</v>
      </c>
    </row>
    <row r="309" spans="1:31">
      <c r="A309" s="73"/>
      <c r="B309" s="73" t="s">
        <v>387</v>
      </c>
      <c r="C309" s="73"/>
      <c r="D309" s="73"/>
      <c r="E309" s="73" t="s">
        <v>793</v>
      </c>
      <c r="F309" s="73"/>
      <c r="G309" s="73"/>
      <c r="H309" s="407"/>
      <c r="I309" s="407">
        <f>I267+I273+I279+I285+I291+I297+I303</f>
        <v>0</v>
      </c>
      <c r="J309" s="407"/>
      <c r="K309" s="407">
        <f>K267+K273+K279+K285+K291+K297+K303</f>
        <v>0</v>
      </c>
      <c r="L309" s="407"/>
      <c r="M309" s="407">
        <f t="shared" ref="M309:AD310" si="96">M267+M273+M279+M285+M291+M297+M303</f>
        <v>0</v>
      </c>
      <c r="N309" s="407"/>
      <c r="O309" s="407">
        <f t="shared" si="96"/>
        <v>0</v>
      </c>
      <c r="P309" s="407"/>
      <c r="Q309" s="407">
        <f t="shared" si="96"/>
        <v>0</v>
      </c>
      <c r="R309" s="407"/>
      <c r="S309" s="407">
        <f t="shared" si="96"/>
        <v>0</v>
      </c>
      <c r="T309" s="407"/>
      <c r="U309" s="407">
        <f t="shared" si="96"/>
        <v>20</v>
      </c>
      <c r="V309" s="407"/>
      <c r="W309" s="407">
        <f t="shared" si="96"/>
        <v>0</v>
      </c>
      <c r="X309" s="407"/>
      <c r="Y309" s="407">
        <f t="shared" si="96"/>
        <v>0</v>
      </c>
      <c r="Z309" s="407"/>
      <c r="AA309" s="407">
        <f t="shared" si="96"/>
        <v>0</v>
      </c>
      <c r="AB309" s="407"/>
      <c r="AC309" s="407">
        <f t="shared" si="96"/>
        <v>0</v>
      </c>
      <c r="AD309" s="407">
        <f t="shared" si="96"/>
        <v>0</v>
      </c>
      <c r="AE309" s="403">
        <f t="shared" si="95"/>
        <v>20</v>
      </c>
    </row>
    <row r="310" spans="1:31">
      <c r="A310" s="73"/>
      <c r="B310" s="73" t="s">
        <v>387</v>
      </c>
      <c r="C310" s="73"/>
      <c r="D310" s="73"/>
      <c r="E310" s="73" t="s">
        <v>966</v>
      </c>
      <c r="F310" s="73"/>
      <c r="G310" s="73"/>
      <c r="H310" s="407"/>
      <c r="I310" s="407">
        <f>I268+I274+I280+I286+I292+I298+I304</f>
        <v>0</v>
      </c>
      <c r="J310" s="407"/>
      <c r="K310" s="407">
        <f>K268+K274+K280+K286+K292+K298+K304</f>
        <v>0</v>
      </c>
      <c r="L310" s="407"/>
      <c r="M310" s="407">
        <f t="shared" si="96"/>
        <v>0</v>
      </c>
      <c r="N310" s="407"/>
      <c r="O310" s="407">
        <f t="shared" si="96"/>
        <v>0</v>
      </c>
      <c r="P310" s="407"/>
      <c r="Q310" s="407">
        <f t="shared" si="96"/>
        <v>0</v>
      </c>
      <c r="R310" s="407"/>
      <c r="S310" s="407">
        <f t="shared" si="96"/>
        <v>0</v>
      </c>
      <c r="T310" s="407"/>
      <c r="U310" s="407">
        <f t="shared" si="96"/>
        <v>0</v>
      </c>
      <c r="V310" s="407"/>
      <c r="W310" s="407">
        <f t="shared" si="96"/>
        <v>0</v>
      </c>
      <c r="X310" s="407"/>
      <c r="Y310" s="407">
        <f t="shared" si="96"/>
        <v>0</v>
      </c>
      <c r="Z310" s="407"/>
      <c r="AA310" s="407">
        <f t="shared" si="96"/>
        <v>0</v>
      </c>
      <c r="AB310" s="407"/>
      <c r="AC310" s="407">
        <f t="shared" si="96"/>
        <v>0</v>
      </c>
      <c r="AD310" s="407">
        <f t="shared" si="96"/>
        <v>0</v>
      </c>
      <c r="AE310" s="403">
        <f t="shared" si="95"/>
        <v>0</v>
      </c>
    </row>
    <row r="311" spans="1:31">
      <c r="A311" s="73"/>
      <c r="B311" s="73" t="s">
        <v>387</v>
      </c>
      <c r="C311" s="73"/>
      <c r="D311" s="73"/>
      <c r="E311" s="73" t="s">
        <v>794</v>
      </c>
      <c r="F311" s="73"/>
      <c r="G311" s="73"/>
      <c r="H311" s="407"/>
      <c r="I311" s="407">
        <f>I308+I309+I310</f>
        <v>0</v>
      </c>
      <c r="J311" s="407"/>
      <c r="K311" s="407">
        <f>K308+K309+K310</f>
        <v>0</v>
      </c>
      <c r="L311" s="407"/>
      <c r="M311" s="407">
        <f t="shared" ref="M311:AD311" si="97">M308+M309+M310</f>
        <v>146.49022522007547</v>
      </c>
      <c r="N311" s="407"/>
      <c r="O311" s="407">
        <f t="shared" si="97"/>
        <v>274.04633969742008</v>
      </c>
      <c r="P311" s="407"/>
      <c r="Q311" s="407">
        <f t="shared" si="97"/>
        <v>146.49022522007547</v>
      </c>
      <c r="R311" s="407"/>
      <c r="S311" s="407">
        <f t="shared" si="97"/>
        <v>193.82550207690258</v>
      </c>
      <c r="T311" s="407"/>
      <c r="U311" s="407">
        <f t="shared" si="97"/>
        <v>88.760717960443586</v>
      </c>
      <c r="V311" s="407"/>
      <c r="W311" s="407">
        <f t="shared" si="97"/>
        <v>24.913303608856371</v>
      </c>
      <c r="X311" s="407"/>
      <c r="Y311" s="407">
        <f t="shared" si="97"/>
        <v>32.885560763690407</v>
      </c>
      <c r="Z311" s="407"/>
      <c r="AA311" s="407">
        <f t="shared" si="97"/>
        <v>24.913303608856371</v>
      </c>
      <c r="AB311" s="407"/>
      <c r="AC311" s="407">
        <f t="shared" si="97"/>
        <v>24.913303608856371</v>
      </c>
      <c r="AD311" s="407">
        <f t="shared" si="97"/>
        <v>24.913303608856371</v>
      </c>
      <c r="AE311" s="403">
        <f>SUM(I311:AD311)</f>
        <v>982.15178537403301</v>
      </c>
    </row>
    <row r="312" spans="1:31">
      <c r="A312" s="73"/>
      <c r="B312" s="70"/>
      <c r="C312" s="73"/>
      <c r="D312" s="73"/>
      <c r="E312" s="73"/>
      <c r="F312" s="73"/>
      <c r="G312" s="73"/>
      <c r="H312" s="407"/>
      <c r="I312" s="407"/>
      <c r="J312" s="407"/>
      <c r="K312" s="407"/>
      <c r="L312" s="407"/>
      <c r="M312" s="407"/>
      <c r="N312" s="407"/>
      <c r="O312" s="407"/>
      <c r="P312" s="407"/>
      <c r="Q312" s="407"/>
      <c r="R312" s="407"/>
      <c r="S312" s="407"/>
      <c r="T312" s="407"/>
      <c r="U312" s="407"/>
      <c r="V312" s="407"/>
      <c r="W312" s="407"/>
      <c r="X312" s="407"/>
      <c r="Y312" s="407"/>
      <c r="Z312" s="407"/>
      <c r="AA312" s="407"/>
      <c r="AB312" s="407"/>
      <c r="AC312" s="407"/>
      <c r="AD312" s="407"/>
      <c r="AE312" s="403">
        <f>SUM(AE269:AE305)*1.1</f>
        <v>1543.0334781448885</v>
      </c>
    </row>
    <row r="313" spans="1:31" outlineLevel="1">
      <c r="A313" t="s">
        <v>1156</v>
      </c>
      <c r="C313" s="17"/>
      <c r="D313" s="17"/>
      <c r="E313" t="s">
        <v>791</v>
      </c>
      <c r="Y313" s="115">
        <v>1900</v>
      </c>
    </row>
    <row r="314" spans="1:31" outlineLevel="1">
      <c r="A314">
        <v>720110</v>
      </c>
      <c r="B314" t="s">
        <v>1157</v>
      </c>
      <c r="C314" t="s">
        <v>434</v>
      </c>
      <c r="D314" t="str">
        <f>VLOOKUP(C314,'Price Table 8 OHB'!A:B,2,FALSE)</f>
        <v>Mission Operations</v>
      </c>
      <c r="E314" t="s">
        <v>1159</v>
      </c>
      <c r="I314" s="115">
        <f>I313*U15*0.001</f>
        <v>0</v>
      </c>
      <c r="K314" s="115">
        <f>K313*U15*0.001</f>
        <v>0</v>
      </c>
      <c r="M314" s="115">
        <f>M313*U15*0.001</f>
        <v>0</v>
      </c>
      <c r="O314" s="115">
        <f>O313*U15*0.001</f>
        <v>0</v>
      </c>
      <c r="Q314" s="115">
        <f>Q313*U15*0.001</f>
        <v>0</v>
      </c>
      <c r="S314" s="115">
        <f>S313*U15*0.001</f>
        <v>0</v>
      </c>
      <c r="U314" s="115">
        <f>U313*U15*0.001</f>
        <v>0</v>
      </c>
      <c r="W314" s="115">
        <f>W313*U15*0.001</f>
        <v>0</v>
      </c>
      <c r="Y314" s="115">
        <f>Y313*U15*0.001</f>
        <v>189.34110742730843</v>
      </c>
      <c r="AA314" s="115">
        <f>AA313*U15*0.001</f>
        <v>0</v>
      </c>
      <c r="AC314" s="115">
        <f>AC313*U15*0.001</f>
        <v>0</v>
      </c>
      <c r="AD314" s="115">
        <f>AD313*U15*0.001</f>
        <v>0</v>
      </c>
      <c r="AE314" s="403">
        <f t="shared" ref="AE314:AE316" si="98">SUM(I314:AD314)</f>
        <v>189.34110742730843</v>
      </c>
    </row>
    <row r="315" spans="1:31" outlineLevel="1">
      <c r="A315">
        <v>720110</v>
      </c>
      <c r="B315" t="s">
        <v>1157</v>
      </c>
      <c r="D315" t="e">
        <f>VLOOKUP(C315,'Price Table 8 OHB'!A:B,2,FALSE)</f>
        <v>#N/A</v>
      </c>
      <c r="E315" t="s">
        <v>793</v>
      </c>
      <c r="AE315" s="403">
        <f t="shared" si="98"/>
        <v>0</v>
      </c>
    </row>
    <row r="316" spans="1:31" outlineLevel="1">
      <c r="A316">
        <v>720110</v>
      </c>
      <c r="B316" t="s">
        <v>1157</v>
      </c>
      <c r="C316" t="s">
        <v>434</v>
      </c>
      <c r="D316" t="str">
        <f>VLOOKUP(C316,'Price Table 8 OHB'!A:B,2,FALSE)</f>
        <v>Mission Operations</v>
      </c>
      <c r="E316" t="s">
        <v>966</v>
      </c>
      <c r="AE316" s="403">
        <f t="shared" si="98"/>
        <v>0</v>
      </c>
    </row>
    <row r="317" spans="1:31" outlineLevel="1">
      <c r="E317" t="s">
        <v>794</v>
      </c>
      <c r="I317" s="115">
        <f>I314+I315+I316</f>
        <v>0</v>
      </c>
      <c r="K317" s="115">
        <f>K314+K315+K316</f>
        <v>0</v>
      </c>
      <c r="M317" s="115">
        <f t="shared" ref="M317:AD317" si="99">M314+M315+M316</f>
        <v>0</v>
      </c>
      <c r="O317" s="115">
        <f t="shared" si="99"/>
        <v>0</v>
      </c>
      <c r="Q317" s="115">
        <f t="shared" si="99"/>
        <v>0</v>
      </c>
      <c r="S317" s="115">
        <f t="shared" si="99"/>
        <v>0</v>
      </c>
      <c r="U317" s="115">
        <f t="shared" si="99"/>
        <v>0</v>
      </c>
      <c r="W317" s="115">
        <f t="shared" si="99"/>
        <v>0</v>
      </c>
      <c r="Y317" s="115">
        <f t="shared" si="99"/>
        <v>189.34110742730843</v>
      </c>
      <c r="AA317" s="115">
        <f t="shared" si="99"/>
        <v>0</v>
      </c>
      <c r="AC317" s="115">
        <f t="shared" si="99"/>
        <v>0</v>
      </c>
      <c r="AD317" s="115">
        <f t="shared" si="99"/>
        <v>0</v>
      </c>
      <c r="AE317" s="403">
        <f>SUM(I317:AD317)</f>
        <v>189.34110742730843</v>
      </c>
    </row>
    <row r="318" spans="1:31" outlineLevel="1">
      <c r="A318" s="90"/>
      <c r="B318" s="91"/>
      <c r="C318" s="90"/>
      <c r="D318" s="90"/>
      <c r="E318" s="90"/>
      <c r="F318" s="90"/>
      <c r="G318" s="90"/>
      <c r="H318" s="414"/>
      <c r="I318" s="414"/>
      <c r="J318" s="414"/>
      <c r="K318" s="414"/>
      <c r="L318" s="414"/>
      <c r="M318" s="414"/>
      <c r="N318" s="414"/>
      <c r="O318" s="414"/>
      <c r="P318" s="414"/>
      <c r="Q318" s="414"/>
      <c r="R318" s="414"/>
      <c r="S318" s="414"/>
      <c r="T318" s="414"/>
      <c r="U318" s="414"/>
      <c r="V318" s="414"/>
      <c r="W318" s="414"/>
      <c r="X318" s="414"/>
      <c r="Y318" s="414"/>
      <c r="Z318" s="414"/>
      <c r="AA318" s="414"/>
      <c r="AB318" s="414"/>
      <c r="AC318" s="414"/>
      <c r="AD318" s="414"/>
    </row>
    <row r="319" spans="1:31" outlineLevel="1">
      <c r="A319" t="s">
        <v>1161</v>
      </c>
      <c r="C319" s="17"/>
      <c r="D319" s="17"/>
      <c r="E319" t="s">
        <v>791</v>
      </c>
      <c r="AA319" s="115">
        <v>3280</v>
      </c>
      <c r="AC319" s="115">
        <v>3280</v>
      </c>
      <c r="AD319" s="115">
        <v>3280</v>
      </c>
    </row>
    <row r="320" spans="1:31" outlineLevel="1">
      <c r="A320">
        <v>740000</v>
      </c>
      <c r="B320" t="s">
        <v>1162</v>
      </c>
      <c r="C320" t="s">
        <v>434</v>
      </c>
      <c r="D320" t="str">
        <f>VLOOKUP(C320,'Price Table 8 OHB'!A:B,2,FALSE)</f>
        <v>Mission Operations</v>
      </c>
      <c r="E320" t="s">
        <v>792</v>
      </c>
      <c r="I320" s="115">
        <f>I319*U15*0.001</f>
        <v>0</v>
      </c>
      <c r="K320" s="115">
        <f>K319*U15*0.001</f>
        <v>0</v>
      </c>
      <c r="M320" s="115">
        <f>M319*U15*0.001</f>
        <v>0</v>
      </c>
      <c r="O320" s="115">
        <f>O319*U15*0.001</f>
        <v>0</v>
      </c>
      <c r="Q320" s="115">
        <f>Q319*U15*0.001</f>
        <v>0</v>
      </c>
      <c r="S320" s="115">
        <f>S319*U15*0.001</f>
        <v>0</v>
      </c>
      <c r="U320" s="115">
        <f>U319*U15*0.001</f>
        <v>0</v>
      </c>
      <c r="W320" s="115">
        <f>W319*U15*0.001</f>
        <v>0</v>
      </c>
      <c r="Y320" s="115">
        <f>Y319*U15*0.001</f>
        <v>0</v>
      </c>
      <c r="AA320" s="115">
        <f>AA319*U15*0.001</f>
        <v>326.86254334819557</v>
      </c>
      <c r="AC320" s="115">
        <f>AC319*U15*0.001</f>
        <v>326.86254334819557</v>
      </c>
      <c r="AD320" s="115">
        <f>AD319*U15*0.001</f>
        <v>326.86254334819557</v>
      </c>
      <c r="AE320" s="403">
        <f t="shared" ref="AE320:AE322" si="100">SUM(I320:AD320)</f>
        <v>980.58763004458672</v>
      </c>
    </row>
    <row r="321" spans="1:33" outlineLevel="1">
      <c r="A321">
        <v>740000</v>
      </c>
      <c r="B321" t="s">
        <v>1162</v>
      </c>
      <c r="D321" t="e">
        <f>VLOOKUP(C321,'Price Table 8 OHB'!A:B,2,FALSE)</f>
        <v>#N/A</v>
      </c>
      <c r="E321" t="s">
        <v>793</v>
      </c>
      <c r="AE321" s="403">
        <f t="shared" si="100"/>
        <v>0</v>
      </c>
    </row>
    <row r="322" spans="1:33" outlineLevel="1">
      <c r="A322">
        <v>740000</v>
      </c>
      <c r="B322" t="s">
        <v>1162</v>
      </c>
      <c r="C322" t="s">
        <v>434</v>
      </c>
      <c r="D322" t="str">
        <f>VLOOKUP(C322,'Price Table 8 OHB'!A:B,2,FALSE)</f>
        <v>Mission Operations</v>
      </c>
      <c r="E322" t="s">
        <v>966</v>
      </c>
      <c r="AA322" s="115">
        <v>10</v>
      </c>
      <c r="AC322" s="115">
        <v>10</v>
      </c>
      <c r="AD322" s="115">
        <v>10</v>
      </c>
      <c r="AE322" s="403">
        <f t="shared" si="100"/>
        <v>30</v>
      </c>
    </row>
    <row r="323" spans="1:33" outlineLevel="1">
      <c r="E323" t="s">
        <v>794</v>
      </c>
      <c r="O323" s="115">
        <f t="shared" ref="O323:AD323" si="101">O320+O321+O322</f>
        <v>0</v>
      </c>
      <c r="Q323" s="115">
        <f t="shared" si="101"/>
        <v>0</v>
      </c>
      <c r="S323" s="115">
        <f t="shared" si="101"/>
        <v>0</v>
      </c>
      <c r="U323" s="115">
        <f t="shared" si="101"/>
        <v>0</v>
      </c>
      <c r="W323" s="115">
        <f t="shared" si="101"/>
        <v>0</v>
      </c>
      <c r="Y323" s="115">
        <f t="shared" si="101"/>
        <v>0</v>
      </c>
      <c r="AA323" s="115">
        <f t="shared" si="101"/>
        <v>336.86254334819557</v>
      </c>
      <c r="AC323" s="115">
        <f t="shared" si="101"/>
        <v>336.86254334819557</v>
      </c>
      <c r="AD323" s="115">
        <f t="shared" si="101"/>
        <v>336.86254334819557</v>
      </c>
      <c r="AE323" s="403">
        <f>SUM(I323:AD323)</f>
        <v>1010.5876300445867</v>
      </c>
    </row>
    <row r="324" spans="1:33">
      <c r="A324" s="73"/>
      <c r="B324" s="70"/>
      <c r="C324" s="73"/>
      <c r="D324" s="73"/>
      <c r="E324" s="73"/>
      <c r="F324" s="73"/>
      <c r="G324" s="73"/>
      <c r="H324" s="407"/>
      <c r="I324" s="407"/>
      <c r="J324" s="407"/>
      <c r="K324" s="407"/>
      <c r="L324" s="407"/>
      <c r="M324" s="407"/>
      <c r="N324" s="407"/>
      <c r="O324" s="407"/>
      <c r="P324" s="407"/>
      <c r="Q324" s="407"/>
      <c r="R324" s="407"/>
      <c r="S324" s="407"/>
      <c r="T324" s="407"/>
      <c r="U324" s="407"/>
      <c r="V324" s="407"/>
      <c r="W324" s="407"/>
      <c r="X324" s="407"/>
      <c r="Y324" s="407"/>
      <c r="Z324" s="407"/>
      <c r="AA324" s="407"/>
      <c r="AB324" s="407"/>
      <c r="AC324" s="407"/>
      <c r="AD324" s="407"/>
    </row>
    <row r="325" spans="1:33">
      <c r="A325" s="73"/>
      <c r="B325" s="73" t="s">
        <v>1162</v>
      </c>
      <c r="C325" s="73"/>
      <c r="D325" s="73"/>
      <c r="E325" s="73" t="s">
        <v>791</v>
      </c>
      <c r="F325" s="73"/>
      <c r="G325" s="73"/>
      <c r="H325" s="407"/>
      <c r="I325" s="407">
        <f>I319+I313</f>
        <v>0</v>
      </c>
      <c r="J325" s="407"/>
      <c r="K325" s="407">
        <f>K313+K319</f>
        <v>0</v>
      </c>
      <c r="L325" s="407"/>
      <c r="M325" s="407">
        <f t="shared" ref="M325:AD325" si="102">M313+M319</f>
        <v>0</v>
      </c>
      <c r="N325" s="407"/>
      <c r="O325" s="407">
        <f t="shared" si="102"/>
        <v>0</v>
      </c>
      <c r="P325" s="407"/>
      <c r="Q325" s="407">
        <f t="shared" si="102"/>
        <v>0</v>
      </c>
      <c r="R325" s="407"/>
      <c r="S325" s="407">
        <f t="shared" si="102"/>
        <v>0</v>
      </c>
      <c r="T325" s="407"/>
      <c r="U325" s="407">
        <f t="shared" si="102"/>
        <v>0</v>
      </c>
      <c r="V325" s="407"/>
      <c r="W325" s="407">
        <f t="shared" si="102"/>
        <v>0</v>
      </c>
      <c r="X325" s="407"/>
      <c r="Y325" s="407">
        <f t="shared" si="102"/>
        <v>1900</v>
      </c>
      <c r="Z325" s="407"/>
      <c r="AA325" s="407">
        <f t="shared" si="102"/>
        <v>3280</v>
      </c>
      <c r="AB325" s="407"/>
      <c r="AC325" s="407">
        <f t="shared" si="102"/>
        <v>3280</v>
      </c>
      <c r="AD325" s="407">
        <f t="shared" si="102"/>
        <v>3280</v>
      </c>
      <c r="AE325" s="403">
        <f t="shared" ref="AE325:AE328" si="103">SUM(I325:AD325)</f>
        <v>11740</v>
      </c>
    </row>
    <row r="326" spans="1:33">
      <c r="A326" s="73"/>
      <c r="B326" s="73" t="s">
        <v>1162</v>
      </c>
      <c r="C326" s="73"/>
      <c r="D326" s="73"/>
      <c r="E326" s="73" t="s">
        <v>792</v>
      </c>
      <c r="F326" s="73"/>
      <c r="G326" s="73"/>
      <c r="H326" s="407"/>
      <c r="I326" s="407">
        <f>I325*U15*0.001</f>
        <v>0</v>
      </c>
      <c r="J326" s="407"/>
      <c r="K326" s="407">
        <f>K325*U15*0.001</f>
        <v>0</v>
      </c>
      <c r="L326" s="407"/>
      <c r="M326" s="407">
        <f>M325*U15*0.001</f>
        <v>0</v>
      </c>
      <c r="N326" s="407"/>
      <c r="O326" s="407">
        <f>O325*U15*0.001</f>
        <v>0</v>
      </c>
      <c r="P326" s="407"/>
      <c r="Q326" s="407">
        <f>Q325*U15*0.001</f>
        <v>0</v>
      </c>
      <c r="R326" s="407"/>
      <c r="S326" s="407">
        <f>S325*U15*0.001</f>
        <v>0</v>
      </c>
      <c r="T326" s="407"/>
      <c r="U326" s="407">
        <f>U325*U15*0.001</f>
        <v>0</v>
      </c>
      <c r="V326" s="407"/>
      <c r="W326" s="407">
        <f>W325*U15*0.001</f>
        <v>0</v>
      </c>
      <c r="X326" s="407"/>
      <c r="Y326" s="407">
        <f>Y325*U15*0.001</f>
        <v>189.34110742730843</v>
      </c>
      <c r="Z326" s="407"/>
      <c r="AA326" s="407">
        <f>AA325*U15*0.001</f>
        <v>326.86254334819557</v>
      </c>
      <c r="AB326" s="407"/>
      <c r="AC326" s="407">
        <f>AC325*U15*0.001</f>
        <v>326.86254334819557</v>
      </c>
      <c r="AD326" s="407">
        <f>AD325*U15*0.001</f>
        <v>326.86254334819557</v>
      </c>
      <c r="AE326" s="403">
        <f t="shared" si="103"/>
        <v>1169.9287374718951</v>
      </c>
    </row>
    <row r="327" spans="1:33">
      <c r="A327" s="73"/>
      <c r="B327" s="73" t="s">
        <v>1162</v>
      </c>
      <c r="C327" s="73"/>
      <c r="D327" s="73"/>
      <c r="E327" s="73" t="s">
        <v>793</v>
      </c>
      <c r="F327" s="73"/>
      <c r="G327" s="73"/>
      <c r="H327" s="407"/>
      <c r="I327" s="407">
        <f>I315+I321</f>
        <v>0</v>
      </c>
      <c r="J327" s="407"/>
      <c r="K327" s="407">
        <f>K315+K321</f>
        <v>0</v>
      </c>
      <c r="L327" s="407"/>
      <c r="M327" s="407">
        <f t="shared" ref="M327:AD328" si="104">M315+M321</f>
        <v>0</v>
      </c>
      <c r="N327" s="407"/>
      <c r="O327" s="407">
        <f t="shared" si="104"/>
        <v>0</v>
      </c>
      <c r="P327" s="407"/>
      <c r="Q327" s="407">
        <f t="shared" si="104"/>
        <v>0</v>
      </c>
      <c r="R327" s="407"/>
      <c r="S327" s="407">
        <f t="shared" si="104"/>
        <v>0</v>
      </c>
      <c r="T327" s="407"/>
      <c r="U327" s="407">
        <f t="shared" si="104"/>
        <v>0</v>
      </c>
      <c r="V327" s="407"/>
      <c r="W327" s="407">
        <f t="shared" si="104"/>
        <v>0</v>
      </c>
      <c r="X327" s="407"/>
      <c r="Y327" s="407">
        <f t="shared" si="104"/>
        <v>0</v>
      </c>
      <c r="Z327" s="407"/>
      <c r="AA327" s="407">
        <f t="shared" si="104"/>
        <v>0</v>
      </c>
      <c r="AB327" s="407"/>
      <c r="AC327" s="407">
        <f t="shared" si="104"/>
        <v>0</v>
      </c>
      <c r="AD327" s="407">
        <f t="shared" si="104"/>
        <v>0</v>
      </c>
      <c r="AE327" s="403">
        <f t="shared" si="103"/>
        <v>0</v>
      </c>
    </row>
    <row r="328" spans="1:33">
      <c r="A328" s="73"/>
      <c r="B328" s="73" t="s">
        <v>1162</v>
      </c>
      <c r="C328" s="73"/>
      <c r="D328" s="73"/>
      <c r="E328" s="73" t="s">
        <v>966</v>
      </c>
      <c r="F328" s="73"/>
      <c r="G328" s="73"/>
      <c r="H328" s="407"/>
      <c r="I328" s="407">
        <f>I316+I322</f>
        <v>0</v>
      </c>
      <c r="J328" s="407"/>
      <c r="K328" s="407">
        <f>K316+K322</f>
        <v>0</v>
      </c>
      <c r="L328" s="407"/>
      <c r="M328" s="407">
        <f t="shared" si="104"/>
        <v>0</v>
      </c>
      <c r="N328" s="407"/>
      <c r="O328" s="407">
        <f t="shared" si="104"/>
        <v>0</v>
      </c>
      <c r="P328" s="407"/>
      <c r="Q328" s="407">
        <f t="shared" si="104"/>
        <v>0</v>
      </c>
      <c r="R328" s="407"/>
      <c r="S328" s="407">
        <f t="shared" si="104"/>
        <v>0</v>
      </c>
      <c r="T328" s="407"/>
      <c r="U328" s="407">
        <f t="shared" si="104"/>
        <v>0</v>
      </c>
      <c r="V328" s="407"/>
      <c r="W328" s="407">
        <f t="shared" si="104"/>
        <v>0</v>
      </c>
      <c r="X328" s="407"/>
      <c r="Y328" s="407">
        <f t="shared" si="104"/>
        <v>0</v>
      </c>
      <c r="Z328" s="407"/>
      <c r="AA328" s="407">
        <f t="shared" si="104"/>
        <v>10</v>
      </c>
      <c r="AB328" s="407"/>
      <c r="AC328" s="407">
        <f t="shared" si="104"/>
        <v>10</v>
      </c>
      <c r="AD328" s="407">
        <f t="shared" si="104"/>
        <v>10</v>
      </c>
      <c r="AE328" s="403">
        <f t="shared" si="103"/>
        <v>30</v>
      </c>
    </row>
    <row r="329" spans="1:33">
      <c r="A329" s="73"/>
      <c r="B329" s="73" t="s">
        <v>1162</v>
      </c>
      <c r="C329" s="73"/>
      <c r="D329" s="73"/>
      <c r="E329" s="73" t="s">
        <v>794</v>
      </c>
      <c r="F329" s="73"/>
      <c r="G329" s="73"/>
      <c r="H329" s="407"/>
      <c r="I329" s="407">
        <f>I326+I327+I328</f>
        <v>0</v>
      </c>
      <c r="J329" s="407"/>
      <c r="K329" s="407">
        <f>K326+K327+K328</f>
        <v>0</v>
      </c>
      <c r="L329" s="407"/>
      <c r="M329" s="407">
        <f t="shared" ref="M329:AD329" si="105">M326+M327+M328</f>
        <v>0</v>
      </c>
      <c r="N329" s="407"/>
      <c r="O329" s="407">
        <f t="shared" si="105"/>
        <v>0</v>
      </c>
      <c r="P329" s="407"/>
      <c r="Q329" s="407">
        <f t="shared" si="105"/>
        <v>0</v>
      </c>
      <c r="R329" s="407"/>
      <c r="S329" s="407">
        <f t="shared" si="105"/>
        <v>0</v>
      </c>
      <c r="T329" s="407"/>
      <c r="U329" s="407">
        <f t="shared" si="105"/>
        <v>0</v>
      </c>
      <c r="V329" s="407"/>
      <c r="W329" s="407">
        <f t="shared" si="105"/>
        <v>0</v>
      </c>
      <c r="X329" s="407"/>
      <c r="Y329" s="407">
        <f t="shared" si="105"/>
        <v>189.34110742730843</v>
      </c>
      <c r="Z329" s="407"/>
      <c r="AA329" s="407">
        <f t="shared" si="105"/>
        <v>336.86254334819557</v>
      </c>
      <c r="AB329" s="407"/>
      <c r="AC329" s="407">
        <f t="shared" si="105"/>
        <v>336.86254334819557</v>
      </c>
      <c r="AD329" s="407">
        <f t="shared" si="105"/>
        <v>336.86254334819557</v>
      </c>
      <c r="AE329" s="403">
        <f>SUM(I329:AD329)</f>
        <v>1199.9287374718951</v>
      </c>
    </row>
    <row r="330" spans="1:33">
      <c r="A330" s="73"/>
      <c r="B330" s="70"/>
      <c r="C330" s="73"/>
      <c r="D330" s="73"/>
      <c r="E330" s="73"/>
      <c r="F330" s="73"/>
      <c r="G330" s="73"/>
      <c r="H330" s="407"/>
      <c r="I330" s="407"/>
      <c r="J330" s="407"/>
      <c r="K330" s="407"/>
      <c r="L330" s="407"/>
      <c r="M330" s="407"/>
      <c r="N330" s="407"/>
      <c r="O330" s="407"/>
      <c r="P330" s="407"/>
      <c r="Q330" s="407"/>
      <c r="R330" s="407"/>
      <c r="S330" s="407"/>
      <c r="T330" s="407"/>
      <c r="U330" s="407"/>
      <c r="V330" s="407"/>
      <c r="W330" s="407"/>
      <c r="X330" s="407"/>
      <c r="Y330" s="407"/>
      <c r="Z330" s="407"/>
      <c r="AA330" s="407"/>
      <c r="AB330" s="407"/>
      <c r="AC330" s="407"/>
      <c r="AD330" s="407"/>
      <c r="AE330" s="403">
        <f>SUM(AE317:AE323)*1.1</f>
        <v>2431.5680042681302</v>
      </c>
    </row>
    <row r="331" spans="1:33">
      <c r="A331" s="81" t="s">
        <v>534</v>
      </c>
      <c r="B331" s="82"/>
      <c r="C331" s="81"/>
      <c r="D331" s="81"/>
      <c r="E331" s="81" t="s">
        <v>791</v>
      </c>
      <c r="F331" s="81"/>
      <c r="G331" s="81"/>
      <c r="H331" s="422"/>
      <c r="I331" s="422">
        <f>I17+I24+I30+I42+I48+I54+I60+I66+57+I78+I84+I90+I96+I102+I108+I114+I120+I132+I138+I144+I150+I156+I162+I168+I174+I180+I186+I192+I198+I204+I210+I210+I223+I229+I235+I241+I247+I253+I265+I271+I277+I283+I289+I295+I301+I313+I319</f>
        <v>2282</v>
      </c>
      <c r="J331" s="422"/>
      <c r="K331" s="422">
        <f>K17+K24+K30+K42+K48+K54+K60+K66+K72+K78+K84+K90+K96+K102+K108+K114+K120+K132+K138+K144+K150+K156+K162+K168+K174+K180+K186+K192+K198+K204+K210+K223+K229+K235+K241+K247+K253+K265+K271+K277+K283+K289+K295+K301+K313+K319</f>
        <v>10591</v>
      </c>
      <c r="L331" s="422"/>
      <c r="M331" s="422">
        <f>M17+M24+M30+M42+M48+M54+M60+M66+M72+M730+M84+M90+M96+M102+M108+M114+M120+M132+M138+M144+M150+M156+M162+M168+M174+M180+M186+M192+M198+M204+M210+M223+M229+M235+M241+M247+M253+M265+M271+M277+M283+M289+M295+M301+M313+M319</f>
        <v>13636</v>
      </c>
      <c r="N331" s="422"/>
      <c r="O331" s="422">
        <f>O17+O24+O30+O42+O48+O54+O60+O66+O72+O78+O84+O90+O96+O102+O108+O114+O120+O132+O138+O144+O150+O156+O162+O168+O174+O180+O186+O192+O198+O204+O210+O223+O229+O235+O241+O247+O253+O265+O271+O277+O283+O289+O295+O301+O313+O319</f>
        <v>12059</v>
      </c>
      <c r="P331" s="422"/>
      <c r="Q331" s="422">
        <f>Q17+Q24+Q30+Q42+O48+Q54+Q60+Q66+Q72+Q78+Q84+Q90+Q96+Q102+Q108+Q114+Q120+Q132+Q138+Q144+Q150+Q156+Q162+Q168+Q174+Q180+Q186+Q192+Q198+Q204+Q210+Q223+Q229+Q235+Q241+Q247+Q253+Q265+Q271+Q277+Q283+Q289+Q295+Q301+Q313+Q319</f>
        <v>12971</v>
      </c>
      <c r="R331" s="422"/>
      <c r="S331" s="422">
        <f>S17+S24+S30+S42+S48+S54+S60+S66+S72+S78+S84+S90+S96+S102+S108+S114+S120+S132+S138+S144+S150+S156+S162+S168+S174+S180+S186+S192+S198+S204+S210+S223+S229+S235+S241+S247+S253+S265+S271+S277+S283+S289+255+S301+S313+S319</f>
        <v>11525</v>
      </c>
      <c r="T331" s="422"/>
      <c r="U331" s="422">
        <f>U17+U24+U30+U42+U48+U54+U60+U66+U72+U78+U84+U90+U96+U102+U108+U114+U120+U132+U138+U144+U150+U156+U162+U168+U174+U180+U186+U192+U198+U204+U210+U223+U229+U235+U241+U247+U253+U265+U271+U277+U283+U289+U295+U301+U313+U319</f>
        <v>7880</v>
      </c>
      <c r="V331" s="422"/>
      <c r="W331" s="422">
        <f>W17+W24+W30+W42+W48+W54+W60+W66+W72+W78+W84+W90+W96+W102+W108+W114+W120+W132+W138+W144+W150+W156+W162+W168+W174+W180+W186+W192+W198+W204+W210+W223+W229+W235+W241+W247+W253+W265+W271+W277+W283+W289+W295+W301+W313+W319</f>
        <v>6205</v>
      </c>
      <c r="X331" s="422"/>
      <c r="Y331" s="422">
        <f>Y17+Y24+Y30+Y42+Y48+Y54+Y60+Y66+Y72+Y78+Y84+Y90+Y96+Y102+Y108+Y114+Y120+Y132+Y138+Y144+Y150+Y156+Y162+Y168+Y174+Y180+Y186+Y192+Y198+Y204+Y210+Y223+Y229+Y235+Y242+Y247+Y253+Y265+Y271+Y277+Y283+Y289+Y295+Y301+Y313+Y319</f>
        <v>5838</v>
      </c>
      <c r="Z331" s="422"/>
      <c r="AA331" s="422">
        <f>AA17+AA24+AA30+AA42+AA48+AA54+AA60+AA66+AA72+AA78+AA84+AA90+AA96+AA102+AA108+AA114+AA120+AA132+AA138+AA144+AA150+AA156+AA162+AA168+AA174+AA180+AA186+AA192+AA198+AA204+AA210+AA223+AA229+AA235+AA241+AA247+AA253+AA265+AA271+AA277+AA283+AA289+AA295+AA301+AA313+AA319</f>
        <v>6212</v>
      </c>
      <c r="AB331" s="422"/>
      <c r="AC331" s="422">
        <f>AC17+AC24+AC30+AC42+AC48+AC54+AC60+AC66+AC72+AC78+AC84+AC90+AC96+AC102+AC108+AC114+AC120+AC132+AC138+AC144+AC150+AC156+AC162+AC168+AC174+AC180+AC186+AC192+AC198+AC204+189+AC223+AC229+AC235+AC241+AC247+AC134+AC140+AC265+AC271+AC277+AC283+AC289+AC295+AC301+AC313+AC319</f>
        <v>4369</v>
      </c>
      <c r="AD331" s="422">
        <f>AD17+AD24+AD30+AD42+AD48+AD54+AD60+AD66+AD72+AD78+AD84+AD90+AD96+AD102+AD108+AD114+AD120+AD132+AD138+AD144+AD150+AD156+AD162+AD168+AD174+AD180+AD186+AD192+AD198+AD204+AD210+AD223+AD229+AD235+AD241+AD247+AD253+AD265+AD271+AD277+AD283+AD289+AD295+AD301+AD313+AD319</f>
        <v>3955</v>
      </c>
      <c r="AE331" s="403">
        <f t="shared" ref="AE331:AE335" si="106">SUM(I331:AD331)</f>
        <v>97523</v>
      </c>
      <c r="AF331" s="423">
        <f>I331+K331+M331+O331+Q331+S331+U331+W331+Y331+AA331+AC331+AD331</f>
        <v>97523</v>
      </c>
    </row>
    <row r="332" spans="1:33">
      <c r="A332" s="81"/>
      <c r="B332" s="82"/>
      <c r="C332" s="81"/>
      <c r="D332" s="81"/>
      <c r="E332" s="81" t="s">
        <v>792</v>
      </c>
      <c r="F332" s="81"/>
      <c r="G332" s="81"/>
      <c r="H332" s="422"/>
      <c r="I332" s="422">
        <f>I18+I25+I31+I43+I49+I55+I61+I67+I73+I79+I85+I91+I97+I103+I109+I115+I121+I133+I139+I145+I151+I157+I163+I169+I175+I181+I187+I193+I199+I205+I211+I224+I230+I236+I242+I248+I254+I266+I272+I278+I284+I290+I296+I302+I314+I320</f>
        <v>227.0445104988377</v>
      </c>
      <c r="J332" s="422"/>
      <c r="K332" s="422">
        <f>K18+K25+K31+K43+K49+K55+K61+K67+K73+K79+K85+K91+K97+K103+K109+K115+K121+K133+K139+K145+K151+K157+K163+K169+K175+K181+K187+K193+K199+K205+K211+K224+K230+K236+K242+K248+K254+K266+K272+K278+K284+K290+K296+K302+K314+K320</f>
        <v>1074.9195914789834</v>
      </c>
      <c r="L332" s="422"/>
      <c r="M332" s="422">
        <f>M18+M25+M31+M43+M49+M55+M61+M67+M73+M79+M85+M91+M97+M103+M109+M115+M121+M133+M139+M145+M151+M157+M163+M169+M175+M181+M187+M193+M199+M205+M211+M224+M230+M236+M242+M248+M254+M266+M272+M278+M284+M290+M296+M302+M314+M320</f>
        <v>1412.7439884150756</v>
      </c>
      <c r="N332" s="422"/>
      <c r="O332" s="422">
        <f>O18+O25+O31+O43+O49+O55+O61+O67+O73+O79+O85+O91+O97+O103+O109+O115+O121+O133+O139+O145+O151+O157+O163+O169+O175+O181+O187+O193+O199+O205+O211+O224+O230+O236+O242+O248+O254+O266+O272+O278+O284+O290+O296+O302+O314+O320</f>
        <v>1221.2105102701878</v>
      </c>
      <c r="P332" s="422"/>
      <c r="Q332" s="422">
        <f>Q18+Q25+Q31+Q43+Q49+Q55+Q61+Q67+Q73+Q79+Q85+Q91+Q97+Q103+Q109+Q115+Q121+Q133+Q139+Q145+Q151+Q157+Q163+Q169+Q175+Q181+Q187+Q193+Q199+Q205+Q211+Q224+Q230+Q236+Q242+Q248+Q135+Q266+Q272+Q278+Q284+Q290+Q296+Q302+Q314+Q320</f>
        <v>1312.0942418352959</v>
      </c>
      <c r="R332" s="422"/>
      <c r="S332" s="422">
        <f>S18+S25+S31+S43+S49+S55+S61+S67+S73+S79+S85+S91+S97+S103+S109+S115+S121+S133+S139+S145+S151+S157+S163+S169+S175+S181+S187+S193+S199+S205+S211+S224+S230+S236+S242+S248+S254+S266+S272+S278+S284+S290+S296+S302+S314+S320</f>
        <v>1142.5841240806374</v>
      </c>
      <c r="T332" s="422"/>
      <c r="U332" s="422">
        <f>U18+U25+U31+U43+U49+U55+U61+U67+U73+U79+U85+U91+U97+U103+U109+U115+U121+U133+U139+U145+U151+U157+U163+U169+U175+U181+U187+U193+U199+U205+U211+U224+U230+U236+U242+U248+U254+U266+U272+U278+U284+U290+U296+U302+U314+U320</f>
        <v>804.75972714454474</v>
      </c>
      <c r="V332" s="422"/>
      <c r="W332" s="422">
        <f>W18+W25+W31+W43+W49+W55+W61+W67+W73+W79+W85+W91+W97+W103+W109+W115+W121+W133+W139+W145+W151+W157+W163+W169+W175+W181+W187+W193+W199+W205+W211+W224+W230+W236+W242+W248+W254+W266+W272+W278+W284+W290+W296+W302+W314+W320</f>
        <v>637.84059296520718</v>
      </c>
      <c r="X332" s="422"/>
      <c r="Y332" s="422">
        <f>Y18+Y25+Y31+Y43+Y49+Y55+Y61+Y67+Y73+Y79+Y85+Y91+Y97+Y103+Y109+Y115+Y121+Y133+Y139+Y145+Y151+Y157+Y163+Y169+Y175+Y181+Y187+Y193+Y199+Y205+Y211+Y224+Y230+Y236+Y242+Y248+Y254+Y266+Y272+Y278+Y284+Y290+Y296+Y302+Y314+Y320</f>
        <v>601.26786326740603</v>
      </c>
      <c r="Z332" s="422"/>
      <c r="AA332" s="422">
        <f>AA18+AA25+AA31+AA43+AA49+AA55+AA61+AA67+AA73+AA79+AA85+AA91+AA97+AA103+AA109+AA115+AA121+AA133+AA139+AA145+AA151+AA157+AA163+AA169+AA175+AA181+AA187+AA193+AA199+AA205+AA211+AA224+AA230+AA236+AA242+AA248+AA254+AA266+AA272+AA278+AA284+AA290+AA296+AA302+AA314+AA320</f>
        <v>638.53816546625512</v>
      </c>
      <c r="AB332" s="422"/>
      <c r="AC332" s="422">
        <f>AC18+AC25+AC31+AC43+AC49+AC55+AC61+AC67+AC73+AC79+AC85+AC91+AC97+AC103+AC109+AC115+AC121+AC133+AC139+AC145+AC151+AC157+AC163+AC169+AC175+AC181+AC187+AC193+AC199+AC205+AC211+AC224+AC230+AC236+AC242+AC248+AC254+AC266+AC272+AC278+AC284+AC290+AC296+AC302+AC314+AC320</f>
        <v>421.86654472009451</v>
      </c>
      <c r="AD332" s="422">
        <f>AD18+AD25+AD31+AD43+AD49+AD55+AD61+AD67+AD73+AD79+AD85+AD91+AD97+AD103+AD109+AD115+AD121+AD133+AD139+AD145+AD151+AD157+AD163+AD169+AD175+AD181+AD187+AD193+AD199+AD205+AD211+AD224+AD230+AD236+AD242+AD248+AD254+AD266+AD272+AD278+AD284+AD290+AD296+AD302+AD314+AD320</f>
        <v>399.44457147212381</v>
      </c>
      <c r="AE332" s="403">
        <f t="shared" si="106"/>
        <v>9894.3144316146518</v>
      </c>
      <c r="AF332" s="423">
        <f>I332+K332+M332+O332+Q332+S332+U332+W332+Y332+AA332+AC332+AD332</f>
        <v>9894.3144316146518</v>
      </c>
    </row>
    <row r="333" spans="1:33">
      <c r="A333" s="81"/>
      <c r="B333" s="82"/>
      <c r="C333" s="81"/>
      <c r="D333" s="81"/>
      <c r="E333" s="81" t="s">
        <v>793</v>
      </c>
      <c r="F333" s="81"/>
      <c r="G333" s="81"/>
      <c r="H333" s="422"/>
      <c r="I333" s="422">
        <f>I19+I26+I32+I44+I50+I56+I62+I68+I74+I80+I86+I92+I98+I104+I110+I116+I122+I134+I140+I146+I152+I158+I164+I170+I176+I182+I188+I194+I200+I206+I212+I225+I231+I237+I243+I249+I255+I267+I273+I279+I285+I291+I297+I303+I315+I321</f>
        <v>0</v>
      </c>
      <c r="J333" s="422"/>
      <c r="K333" s="422">
        <f>K19+K26+K32+K44+K50+K56+K62+K68+K74+K80+K86+K92+K98+K104+K110+K116+K122+K134+K140+K146+K152+K158+K164+K170+K176+K182+K188+K194+K200+K206+K212+K225+K231+K237+K243+K249+K255+K267+K273+K279+K285+K291+K297+K303+K315+K321</f>
        <v>542.625</v>
      </c>
      <c r="L333" s="422"/>
      <c r="M333" s="422">
        <f>M19+M26+M32+M44+M50+M56+M62+M68+M74+M80+M86+M92+M98+M104+M110+M116+M122+M134+M140+M146+M152+M158+M164+M170+M176+M182+M188+M194+M200+M206+M212+M225+M231+M237+M243+M249+M255+M267+M273+M279+M285+M291+M297+M303+M315+M321</f>
        <v>1558.75</v>
      </c>
      <c r="N333" s="422"/>
      <c r="O333" s="422">
        <f>O19+O26+O32+O44+O50+O56+O62+O68+O74+O80+O86+O92+O98+O104+O110+O116+O122+O134+O140+O146+O152+O158+O164+O170+O176+O182+O188+O194+O200+O206+O212+O225+O231+O237+O243+O249+O255+O267+O273+O279+O285+O291+O297+O303+O315+O321</f>
        <v>1714.325</v>
      </c>
      <c r="P333" s="422"/>
      <c r="Q333" s="422">
        <f>Q19+Q26+Q32+Q44+Q50+Q56+Q62+Q68+Q74+Q80+Q86+Q92+Q98+Q104+Q110+Q116+Q122+Q134+Q140+Q146+Q152+Q158+Q164+Q170+Q176+Q182+Q188+Q194+Q200+Q206+Q212+Q225+Q231+Q237+Q243+Q249+Q255+Q267+Q273+Q279+Q285+Q291+Q297+Q303+Q315+Q321</f>
        <v>1042.3499999999999</v>
      </c>
      <c r="R333" s="422"/>
      <c r="S333" s="422">
        <f>S19+S26+S32+S44+S50+S56+S62+S68+S74+S80+S86+S92+S98+S104+S110+S116+S122+S134+S140+S146+S152+S158+S164+S170+S176+S182+S188+S194+S200+S206+S212+S225+S231+S237+S243+S249+S255+S267+S273+S279+S285+S291+S297+S303+S315+S321</f>
        <v>321.60000000000002</v>
      </c>
      <c r="T333" s="422"/>
      <c r="U333" s="422">
        <f>U19+U26+U32+U44+U50+U56+U62+U68+U74+U80+U86+U92+U98+U104+U110+U116+U122+U134+U140+U146+U152+U158+U164+U170+U176+U182+U188+U194+U200+U206+U212+U225+U231+U237+U243+U249+U255+U267+U273+U279+U285+U291+U297+U303+U315+U321</f>
        <v>20</v>
      </c>
      <c r="V333" s="422"/>
      <c r="W333" s="422">
        <f>W19+W26+W32+W44+W50+W56+W62+W68+W74+W80+W86+W92+W98+W104+W110+W116+W122+W134+W140+W146+W152+W158+W164+W170+W176+W182+W188+W194+W200+W206+W212+W225+W231+W237+W243+W249+W255+W267+W273+W279+W285+W291+W297+W303+W315+W321</f>
        <v>114</v>
      </c>
      <c r="X333" s="422"/>
      <c r="Y333" s="422">
        <f>Y19+Y26+Y32+Y44+Y50+Y56+Y62+Y68+Y74+Y80+Y86+Y92+Y98+Y104+Y110+Y116+Y122+Y134+Y140+Y146+Y152+Y158+Y164+Y170+Y176+Y182+Y188+Y194+Y200+Y206+Y212+Y225+Y231+Y237+Y243+Y249+Y255+Y267+Y273+Y279+Y285+Y291+Y297+Y303+Y315+Y321</f>
        <v>397.5</v>
      </c>
      <c r="Z333" s="422"/>
      <c r="AA333" s="422">
        <f>AA19+AA26+AA32+AA44+AA50+AA56+AA62+AA68+AA74+AA80+AA86+AA92+AA98+AA104+AA110+AA116+AA122+AA134+AA140+AA146+AA152+AA158+AA164+AA170+AA176+AA182+AA188+AA194+AA200+AA206+AA212+AA225+AA231+AA237+AA243+AA249+AA255+AA267+AA273+AA279+AA285+AA291+AA297+AA303+AA315+AA321</f>
        <v>177.5</v>
      </c>
      <c r="AB333" s="422"/>
      <c r="AC333" s="422">
        <f>AC19+AC26+AC32+AC44+AC50+AC56+AC62+AC68+AC74+AC80+AC86+AC92+AC98+AC104+AC110+AC116+AC122+AC134+AC140+AC146+AC152+AC158+AC164+AC170+AC176+AC182+AC188+AC194+AC200+AC206+AC212+AC225+AC231+AC237+AC243+AC249+AC255+AC267+AC273+AC279+AC285+AC291+AC297+AC303+AC315+AC321</f>
        <v>0</v>
      </c>
      <c r="AD333" s="422">
        <f>AD19+AD26+AD32+AD44+AD50+AD56+AD62+AD68+AD74+AD80+AD86+AD92+AD98+AD104+AD110+AD116+AD122+AD134+AD140+AD146+AD152+AD158+AD164+AD170+AD176+AD182+AD188+AD194+AD200+AD206+AD212+AD225+AD231+AD237+AD243+AD249+AD255+AD267+AD273+AD279+AD285+AD291+AD297+AD303+AD315+AD321</f>
        <v>0</v>
      </c>
      <c r="AE333" s="403">
        <f t="shared" si="106"/>
        <v>5888.65</v>
      </c>
      <c r="AF333" s="423">
        <f>I333+K333+M333+O333+Q333+S333+U333+W333+Y333+AA333+AC333+AD333</f>
        <v>5888.65</v>
      </c>
    </row>
    <row r="334" spans="1:33">
      <c r="A334" s="81"/>
      <c r="B334" s="82"/>
      <c r="C334" s="81"/>
      <c r="D334" s="81"/>
      <c r="E334" s="81" t="s">
        <v>966</v>
      </c>
      <c r="F334" s="81"/>
      <c r="G334" s="81"/>
      <c r="H334" s="422"/>
      <c r="I334" s="422">
        <f>I20+I27+I33+I45+I51+I57+I63+I69+I75+I81+I87+I93+I99+I105+I111+I117+I123+I135+I141+I147+I153+I159+I165+I171+I177+I183+I189+I195+I201+I207+I213+I226+I232+I238+I244+I250+I256+I268+I274+I280+I286+I292+I298+I304+I316+I322</f>
        <v>15</v>
      </c>
      <c r="J334" s="422"/>
      <c r="K334" s="422">
        <f>K20+K27+K33+K45+K51+K57+K63+K69+K75+K81+K87+K93+K99+K105+K111+K117+K123+K135+K141+K147+K153+K159+K165+K171+K177+K183+K189+K195+K201+K207+K213+K226+K232+K238+K244+K250+K256+K268+K274+K280+K286+K292+K298+K304+K316+K322</f>
        <v>52</v>
      </c>
      <c r="L334" s="422"/>
      <c r="M334" s="422">
        <f>M20+M27+M33+M45+M51+M57+M63+M69+M75+M81+M87+M93+M99+M105+M111+M117+M123+M135+M141+M147+M153+M159+M165+M171+M177+M183+M189+M195+M201+M207+M213+M226+M232+M238+M244+M250+M256+M268+M274+M280+M286+M292+M298+M304+M316+M322</f>
        <v>37</v>
      </c>
      <c r="N334" s="422"/>
      <c r="O334" s="422">
        <f>O20+O27+O33+O45+O51+O57+O63+O69+O75+O81+O87+O93+O99+O105+O111+O117+O123+O135+O141+O147+O153+O159+O165+O171+O177+O183+O189+O195+O201+O207+O213+O226+O232+O238+O244+O250+O256+O268+O274+O280+O286+O292+O298+O304+O316+O322</f>
        <v>37</v>
      </c>
      <c r="P334" s="422"/>
      <c r="Q334" s="422">
        <f>Q20+Q27+Q33+Q45+Q51+Q57+Q63+Q69+Q75+Q81+Q87+Q93+Q99+Q105+Q111+Q117+Q123+Q135+Q141+Q147+Q153+Q159+Q165+Q171+Q177+Q183+Q189+Q195+Q201+Q207+Q213+Q226+Q232+Q238+Q244+Q250+Q256+Q268+Q274+Q280+Q286+Q292+Q298+Q304+Q316+Q322</f>
        <v>37</v>
      </c>
      <c r="R334" s="422"/>
      <c r="S334" s="422">
        <f>S20+S27+S33+S45+S51+S57+S63+S69+S75+S81+S87+S93+S99+S105+S111+S117+S123+S135+S141+S147+S153+S159+S165+S171+S177+S183+S189+S195+S201+S207+S213+S226+S232+S238+S244+S250+S256+S268+S274+S280+S286+S292+S298+S304+S316+S322</f>
        <v>29</v>
      </c>
      <c r="T334" s="422"/>
      <c r="U334" s="422">
        <f>U20+U27+U33+U45+U51+U57+U63+U69+U75+U81+U87+U93+U99+U105+U111+U117+U123+U135+U141+U147+U153+U159+U165+U171+U177+U183+U189+U195+U201+U207+U213+U226+U232+U238+U244+U250+U256+U268+U274+U280+U286+U292+U298+U304+U316+U322</f>
        <v>25</v>
      </c>
      <c r="V334" s="422"/>
      <c r="W334" s="422">
        <f>W20+W27+W33+W45+W51+W57+W63+W69+W75+W81+W87+W93+W99+W105+W111+W117+W123+W135+W141+W147+W153+W159+W165+W171+W177+W183+W189+W195+W201+W207+W213+W226+W232+W238+W244+W250+W256+W268+W274+W280+W286+W292+W298+W304+W316+W322</f>
        <v>18</v>
      </c>
      <c r="X334" s="422"/>
      <c r="Y334" s="422">
        <f>Y20+Y27+Y33+Y45+Y51+Y57+Y63+Y69+Y75+Y81+Y87+Y93+Y99+Y105+Y111+Y117+Y123+Y135+Y141+Y147+Y153+Y159+Y165+Y171+Y177+Y183+Y189+Y195+Y201+Y207+Y213+Y226+Y232+Y238+Y244+Y250+Y256+Y268+Y274+Y280+Y286+Y292+Y298+Y304+Y316+Y322</f>
        <v>53</v>
      </c>
      <c r="Z334" s="422"/>
      <c r="AA334" s="422">
        <f>AA20+AA27+AA33+AA45+AA51+AA57+AA63+AA69+AA75+AA81+AA87+AA93+AA99+AA105+AA111+AA117+AA123+AA135+AA141+AA147+AA153+AA159+AA165+AA171+AA177+AA183+AA189+AA195+AA201+AA207+AA213+AA226+AA232+AA238+AA244+AA250+AA256+AA268+AA274+AA280+AA286+AA292+AA298+AA304+AA316+AA322</f>
        <v>67</v>
      </c>
      <c r="AB334" s="422"/>
      <c r="AC334" s="422">
        <f>AC20+AC27+AC33+AC45+AC51+AC57+AC63+AC69+AC75+AC81+AC87+AC93+AC99+AC105+AC111+AC117+AC123+AC135+AC141+AC147+AC153+AC159+AC165+AC171+AC177+AC183+AC189+AC195+AC201+AC207+AC213+AC226+AC232+AC238+AC244+AC250+AC256+AC268+AC274+AC280+AC286+AC292+AC298+AC304+AC316+AC322</f>
        <v>13</v>
      </c>
      <c r="AD334" s="422">
        <f>AD20+AD27+AD33+AD45+AD51+AD57+AD63+AD69+AD75+AD81+AD87+AD93+AD99+AD105+AD111+AD117+AD123+AD135+AD141+AD147+AD153+AD159+AD165+AD171+AD177+AD183+AD189+AD195+AD201+AD207+AD213+AD226+AD232+AD238+AD244+AD250+AD256+AD268+AD274+AD280+AD286+AD292+AD298+AD304+AD316+AD322</f>
        <v>10</v>
      </c>
      <c r="AE334" s="403">
        <f t="shared" si="106"/>
        <v>393</v>
      </c>
      <c r="AF334" s="423">
        <f>I334+K334+M334+O334+Q334+S334+U334+W334+Y334+AA334+AC334+AD334</f>
        <v>393</v>
      </c>
    </row>
    <row r="335" spans="1:33">
      <c r="A335" s="81"/>
      <c r="B335" s="82"/>
      <c r="C335" s="81"/>
      <c r="D335" s="81"/>
      <c r="E335" s="81" t="s">
        <v>794</v>
      </c>
      <c r="F335" s="81"/>
      <c r="G335" s="81"/>
      <c r="H335" s="422"/>
      <c r="I335" s="422">
        <f>I332+I333+I334</f>
        <v>242.0445104988377</v>
      </c>
      <c r="J335" s="422"/>
      <c r="K335" s="422">
        <f>K332+K333+K334</f>
        <v>1669.5445914789834</v>
      </c>
      <c r="L335" s="422"/>
      <c r="M335" s="422">
        <f t="shared" ref="M335:AD335" si="107">M332+M333+M334</f>
        <v>3008.4939884150754</v>
      </c>
      <c r="N335" s="422"/>
      <c r="O335" s="422">
        <f t="shared" si="107"/>
        <v>2972.5355102701878</v>
      </c>
      <c r="P335" s="422"/>
      <c r="Q335" s="422">
        <f t="shared" si="107"/>
        <v>2391.4442418352955</v>
      </c>
      <c r="R335" s="422"/>
      <c r="S335" s="422">
        <f t="shared" si="107"/>
        <v>1493.1841240806375</v>
      </c>
      <c r="T335" s="422"/>
      <c r="U335" s="422">
        <f t="shared" si="107"/>
        <v>849.75972714454474</v>
      </c>
      <c r="V335" s="422"/>
      <c r="W335" s="422">
        <f t="shared" si="107"/>
        <v>769.84059296520718</v>
      </c>
      <c r="X335" s="422"/>
      <c r="Y335" s="422">
        <f t="shared" si="107"/>
        <v>1051.767863267406</v>
      </c>
      <c r="Z335" s="422"/>
      <c r="AA335" s="422">
        <f t="shared" si="107"/>
        <v>883.03816546625512</v>
      </c>
      <c r="AB335" s="422"/>
      <c r="AC335" s="422">
        <f t="shared" si="107"/>
        <v>434.86654472009451</v>
      </c>
      <c r="AD335" s="422">
        <f t="shared" si="107"/>
        <v>409.44457147212381</v>
      </c>
      <c r="AE335" s="403">
        <f t="shared" si="106"/>
        <v>16175.96443161465</v>
      </c>
      <c r="AF335" s="423">
        <f>I335+K335+M335+O335+Q335+S335+U335+W335+Y335+AA335+AC335+AD335</f>
        <v>16175.96443161465</v>
      </c>
    </row>
    <row r="336" spans="1:33">
      <c r="A336" s="90"/>
      <c r="B336" s="91"/>
      <c r="C336" s="90"/>
      <c r="D336" s="90"/>
      <c r="E336" s="90"/>
      <c r="F336" s="90"/>
      <c r="G336" s="90"/>
      <c r="H336" s="414"/>
      <c r="I336" s="414"/>
      <c r="J336" s="414"/>
      <c r="K336" s="414"/>
      <c r="L336" s="414"/>
      <c r="M336" s="414"/>
      <c r="N336" s="414"/>
      <c r="O336" s="414"/>
      <c r="P336" s="414"/>
      <c r="Q336" s="414"/>
      <c r="R336" s="414"/>
      <c r="S336" s="414"/>
      <c r="T336" s="414"/>
      <c r="U336" s="414"/>
      <c r="V336" s="414"/>
      <c r="W336" s="414"/>
      <c r="X336" s="414"/>
      <c r="Y336" s="414"/>
      <c r="Z336" s="414"/>
      <c r="AA336" s="414"/>
      <c r="AB336" s="414"/>
      <c r="AC336" s="414"/>
      <c r="AD336" s="414"/>
      <c r="AE336" s="403">
        <v>0.1</v>
      </c>
      <c r="AF336" s="424">
        <f>1.1*AF335</f>
        <v>17793.560874776114</v>
      </c>
      <c r="AG336" s="79">
        <f>AE330+AE312+AE264+AE221+AE131+AE47+AE41+AE22</f>
        <v>30227.52175717389</v>
      </c>
    </row>
    <row r="337" spans="1:32">
      <c r="A337" s="90"/>
      <c r="B337" s="91"/>
      <c r="C337" s="90"/>
      <c r="D337" s="90"/>
      <c r="E337" s="90"/>
      <c r="F337" s="90"/>
      <c r="G337" s="90"/>
      <c r="H337" s="414"/>
      <c r="I337" s="414"/>
      <c r="J337" s="414"/>
      <c r="K337" s="414"/>
      <c r="L337" s="414"/>
      <c r="M337" s="414"/>
      <c r="N337" s="414"/>
      <c r="O337" s="414"/>
      <c r="P337" s="414"/>
      <c r="Q337" s="414"/>
      <c r="R337" s="414"/>
      <c r="S337" s="414"/>
      <c r="T337" s="414"/>
      <c r="U337" s="414"/>
      <c r="V337" s="414"/>
      <c r="W337" s="414"/>
      <c r="X337" s="414"/>
      <c r="Y337" s="414"/>
      <c r="Z337" s="414"/>
      <c r="AA337" s="414"/>
      <c r="AB337" s="414"/>
      <c r="AC337" s="414"/>
      <c r="AD337" s="414"/>
      <c r="AE337" s="410" t="s">
        <v>1173</v>
      </c>
    </row>
    <row r="338" spans="1:32">
      <c r="I338" s="115" t="s">
        <v>1175</v>
      </c>
      <c r="K338" s="115" t="s">
        <v>1176</v>
      </c>
      <c r="M338" s="115" t="s">
        <v>1177</v>
      </c>
      <c r="O338" s="115" t="s">
        <v>1178</v>
      </c>
      <c r="Q338" s="115" t="s">
        <v>1179</v>
      </c>
      <c r="S338" s="115" t="s">
        <v>1180</v>
      </c>
      <c r="U338" s="115" t="s">
        <v>1181</v>
      </c>
      <c r="W338" s="115" t="s">
        <v>1182</v>
      </c>
      <c r="Y338" s="115" t="s">
        <v>1183</v>
      </c>
      <c r="AA338" s="115" t="s">
        <v>1184</v>
      </c>
      <c r="AC338" s="115" t="s">
        <v>1185</v>
      </c>
      <c r="AD338" s="115" t="s">
        <v>1186</v>
      </c>
      <c r="AF338" s="115" t="s">
        <v>1187</v>
      </c>
    </row>
    <row r="339" spans="1:32">
      <c r="B339" s="17" t="s">
        <v>1296</v>
      </c>
      <c r="E339" t="s">
        <v>29</v>
      </c>
      <c r="I339" s="115">
        <f>I331/$F$2</f>
        <v>2.7660606060606061</v>
      </c>
      <c r="K339" s="115">
        <f t="shared" ref="K339:AD339" si="108">K331/$F$2</f>
        <v>12.837575757575758</v>
      </c>
      <c r="L339" s="115">
        <f t="shared" si="108"/>
        <v>0</v>
      </c>
      <c r="M339" s="115">
        <f t="shared" si="108"/>
        <v>16.528484848484847</v>
      </c>
      <c r="O339" s="115">
        <f t="shared" si="108"/>
        <v>14.616969696969697</v>
      </c>
      <c r="Q339" s="115">
        <f t="shared" si="108"/>
        <v>15.722424242424243</v>
      </c>
      <c r="S339" s="115">
        <f t="shared" si="108"/>
        <v>13.969696969696969</v>
      </c>
      <c r="U339" s="115">
        <f t="shared" si="108"/>
        <v>9.5515151515151508</v>
      </c>
      <c r="W339" s="115">
        <f t="shared" si="108"/>
        <v>7.5212121212121215</v>
      </c>
      <c r="Y339" s="115">
        <f t="shared" si="108"/>
        <v>7.0763636363636362</v>
      </c>
      <c r="AA339" s="115">
        <f t="shared" si="108"/>
        <v>7.5296969696969693</v>
      </c>
      <c r="AC339" s="115">
        <f t="shared" si="108"/>
        <v>5.2957575757575759</v>
      </c>
      <c r="AD339" s="115">
        <f t="shared" si="108"/>
        <v>4.7939393939393939</v>
      </c>
    </row>
    <row r="340" spans="1:32">
      <c r="E340" t="s">
        <v>387</v>
      </c>
      <c r="I340" s="115">
        <f>SUM(I329,I311)/1000</f>
        <v>0</v>
      </c>
      <c r="K340" s="115">
        <f t="shared" ref="K340:AD340" si="109">SUM(K329,K311)/1000</f>
        <v>0</v>
      </c>
      <c r="L340" s="115">
        <f t="shared" si="109"/>
        <v>0</v>
      </c>
      <c r="M340" s="115">
        <f t="shared" si="109"/>
        <v>0.14649022522007546</v>
      </c>
      <c r="O340" s="115">
        <f t="shared" si="109"/>
        <v>0.27404633969742009</v>
      </c>
      <c r="Q340" s="115">
        <f t="shared" si="109"/>
        <v>0.14649022522007546</v>
      </c>
      <c r="S340" s="115">
        <f t="shared" si="109"/>
        <v>0.19382550207690258</v>
      </c>
      <c r="U340" s="115">
        <f t="shared" si="109"/>
        <v>8.8760717960443589E-2</v>
      </c>
      <c r="W340" s="115">
        <f t="shared" si="109"/>
        <v>2.4913303608856369E-2</v>
      </c>
      <c r="Y340" s="115">
        <f t="shared" si="109"/>
        <v>0.22222666819099884</v>
      </c>
      <c r="AA340" s="115">
        <f t="shared" si="109"/>
        <v>0.36177584695705195</v>
      </c>
      <c r="AC340" s="115">
        <f t="shared" si="109"/>
        <v>0.36177584695705195</v>
      </c>
      <c r="AD340" s="115">
        <f t="shared" si="109"/>
        <v>0.36177584695705195</v>
      </c>
    </row>
    <row r="341" spans="1:32">
      <c r="I341" s="115">
        <f>SUM(I335:K335)</f>
        <v>1911.5891019778212</v>
      </c>
    </row>
    <row r="342" spans="1:32">
      <c r="A342" s="16"/>
      <c r="B342" s="94"/>
      <c r="C342" s="16"/>
      <c r="D342" s="16"/>
    </row>
    <row r="343" spans="1:32">
      <c r="G343" s="95" t="s">
        <v>1163</v>
      </c>
      <c r="H343" s="425"/>
      <c r="I343" s="425"/>
      <c r="J343" s="425"/>
      <c r="K343" s="425"/>
      <c r="L343" s="425"/>
      <c r="M343" s="425"/>
      <c r="N343" s="425"/>
      <c r="O343" s="425"/>
      <c r="P343" s="425"/>
      <c r="Q343" s="426"/>
      <c r="R343" s="426"/>
    </row>
    <row r="344" spans="1:32">
      <c r="A344" s="16"/>
      <c r="B344" s="94"/>
      <c r="C344" s="16"/>
      <c r="D344" s="16"/>
      <c r="G344" s="95" t="s">
        <v>1164</v>
      </c>
      <c r="H344" s="425" t="s">
        <v>1165</v>
      </c>
      <c r="I344" s="425" t="s">
        <v>1193</v>
      </c>
      <c r="J344" s="425"/>
      <c r="K344" s="425" t="s">
        <v>1167</v>
      </c>
      <c r="L344" s="425"/>
      <c r="M344" s="425"/>
      <c r="N344" s="425"/>
      <c r="O344" s="425" t="s">
        <v>1168</v>
      </c>
      <c r="P344" s="425"/>
      <c r="Q344" s="426"/>
      <c r="R344" s="426"/>
    </row>
    <row r="345" spans="1:32" hidden="1" outlineLevel="1">
      <c r="A345" s="16"/>
      <c r="B345" s="94"/>
      <c r="C345" s="16"/>
      <c r="D345" s="16"/>
      <c r="G345" s="95">
        <v>1</v>
      </c>
      <c r="H345" s="425">
        <v>20</v>
      </c>
      <c r="I345" s="425">
        <v>43862</v>
      </c>
      <c r="J345" s="425"/>
      <c r="K345" s="425"/>
      <c r="L345" s="425"/>
      <c r="M345" s="425">
        <v>0</v>
      </c>
      <c r="N345" s="425"/>
      <c r="O345" s="425">
        <f t="shared" ref="O345:O359" si="110">H345-M345</f>
        <v>20</v>
      </c>
      <c r="P345" s="425"/>
      <c r="Q345" s="426"/>
      <c r="R345" s="426"/>
    </row>
    <row r="346" spans="1:32" hidden="1" outlineLevel="1">
      <c r="A346" s="16"/>
      <c r="B346" s="94"/>
      <c r="C346" s="16"/>
      <c r="D346" s="16"/>
      <c r="G346" s="95">
        <v>2</v>
      </c>
      <c r="H346" s="425">
        <v>23</v>
      </c>
      <c r="I346" s="425">
        <v>44197</v>
      </c>
      <c r="J346" s="425"/>
      <c r="K346" s="425"/>
      <c r="L346" s="425"/>
      <c r="M346" s="425">
        <f>(I335+K335)/AF335*100</f>
        <v>11.817466031526198</v>
      </c>
      <c r="N346" s="425"/>
      <c r="O346" s="425">
        <f t="shared" si="110"/>
        <v>11.182533968473802</v>
      </c>
      <c r="P346" s="425"/>
      <c r="Q346" s="426"/>
      <c r="R346" s="426"/>
    </row>
    <row r="347" spans="1:32" hidden="1" outlineLevel="1">
      <c r="A347" s="16"/>
      <c r="B347" s="94"/>
      <c r="C347" s="16"/>
      <c r="D347" s="16"/>
      <c r="G347" s="95">
        <v>3</v>
      </c>
      <c r="H347" s="425">
        <v>26</v>
      </c>
      <c r="I347" s="425">
        <v>44317</v>
      </c>
      <c r="J347" s="425"/>
      <c r="K347" s="425"/>
      <c r="L347" s="425"/>
      <c r="M347" s="425">
        <f>(I335+K335)/AF335*100+(M335*4/6)/AF335*100</f>
        <v>24.216495884877467</v>
      </c>
      <c r="N347" s="425"/>
      <c r="O347" s="425">
        <f t="shared" si="110"/>
        <v>1.7835041151225326</v>
      </c>
      <c r="P347" s="425"/>
      <c r="Q347" s="426"/>
      <c r="R347" s="426"/>
    </row>
    <row r="348" spans="1:32" hidden="1" outlineLevel="1">
      <c r="A348" s="16"/>
      <c r="B348" s="94"/>
      <c r="C348" s="16"/>
      <c r="D348" s="16"/>
      <c r="G348" s="95">
        <v>4</v>
      </c>
      <c r="H348" s="425">
        <v>29</v>
      </c>
      <c r="I348" s="425">
        <v>44348</v>
      </c>
      <c r="J348" s="425"/>
      <c r="K348" s="425"/>
      <c r="L348" s="425"/>
      <c r="M348" s="425">
        <f>M346+(M335*5/6)/AF335*100</f>
        <v>27.316253348215287</v>
      </c>
      <c r="N348" s="425"/>
      <c r="O348" s="425">
        <f t="shared" si="110"/>
        <v>1.6837466517847126</v>
      </c>
      <c r="P348" s="425"/>
      <c r="Q348" s="426"/>
      <c r="R348" s="426"/>
    </row>
    <row r="349" spans="1:32" hidden="1" outlineLevel="1">
      <c r="A349" s="16"/>
      <c r="B349" s="94"/>
      <c r="C349" s="16"/>
      <c r="D349" s="16"/>
      <c r="G349" s="95">
        <v>5</v>
      </c>
      <c r="H349" s="425">
        <v>48</v>
      </c>
      <c r="I349" s="425">
        <v>44531</v>
      </c>
      <c r="J349" s="425"/>
      <c r="K349" s="425"/>
      <c r="L349" s="425"/>
      <c r="M349" s="425">
        <f>(I335+K335+M335)/AF335*100+O335*5/6/AF335*100</f>
        <v>45.729551686951133</v>
      </c>
      <c r="N349" s="425"/>
      <c r="O349" s="425">
        <f t="shared" si="110"/>
        <v>2.2704483130488669</v>
      </c>
      <c r="P349" s="425"/>
      <c r="Q349" s="426"/>
      <c r="R349" s="426"/>
    </row>
    <row r="350" spans="1:32" hidden="1" outlineLevel="1">
      <c r="A350" s="16"/>
      <c r="B350" s="94"/>
      <c r="C350" s="16"/>
      <c r="D350" s="16"/>
      <c r="G350" s="95">
        <v>6</v>
      </c>
      <c r="H350" s="425">
        <v>53</v>
      </c>
      <c r="I350" s="425">
        <v>44593</v>
      </c>
      <c r="J350" s="425"/>
      <c r="K350" s="425"/>
      <c r="L350" s="425"/>
      <c r="M350" s="425">
        <f>(I335+K335+M335+O335)/AF335*100+Q335/AF335/6*100</f>
        <v>51.256249208637499</v>
      </c>
      <c r="N350" s="425"/>
      <c r="O350" s="425">
        <f t="shared" si="110"/>
        <v>1.7437507913625012</v>
      </c>
      <c r="P350" s="425"/>
      <c r="Q350" s="426"/>
      <c r="R350" s="426"/>
    </row>
    <row r="351" spans="1:32" hidden="1" outlineLevel="1">
      <c r="A351" s="16"/>
      <c r="B351" s="94"/>
      <c r="C351" s="16"/>
      <c r="D351" s="16"/>
      <c r="G351" s="95">
        <v>7</v>
      </c>
      <c r="H351" s="425">
        <v>62</v>
      </c>
      <c r="I351" s="425">
        <v>44774</v>
      </c>
      <c r="J351" s="425"/>
      <c r="K351" s="425"/>
      <c r="L351" s="425"/>
      <c r="M351" s="425">
        <f>(I335+K335+M335+O335+Q335)/AF335*100</f>
        <v>63.576195941671266</v>
      </c>
      <c r="N351" s="425"/>
      <c r="O351" s="425">
        <f t="shared" si="110"/>
        <v>-1.5761959416712656</v>
      </c>
      <c r="P351" s="425"/>
      <c r="Q351" s="426"/>
      <c r="R351" s="426"/>
    </row>
    <row r="352" spans="1:32" hidden="1" outlineLevel="1">
      <c r="A352" s="16"/>
      <c r="B352" s="94"/>
      <c r="C352" s="16"/>
      <c r="D352" s="16"/>
      <c r="G352" s="95">
        <v>8</v>
      </c>
      <c r="H352" s="425">
        <v>67</v>
      </c>
      <c r="I352" s="425">
        <v>44927</v>
      </c>
      <c r="J352" s="425"/>
      <c r="K352" s="425"/>
      <c r="L352" s="425"/>
      <c r="M352" s="425">
        <f>(I335+K335+M335+O335+Q335+S335)/AF335*100</f>
        <v>72.807077540065038</v>
      </c>
      <c r="N352" s="425"/>
      <c r="O352" s="425">
        <f t="shared" si="110"/>
        <v>-5.8070775400650376</v>
      </c>
      <c r="P352" s="425"/>
      <c r="Q352" s="426"/>
      <c r="R352" s="426"/>
    </row>
    <row r="353" spans="1:30" hidden="1" outlineLevel="1">
      <c r="A353" s="16"/>
      <c r="B353" s="94"/>
      <c r="C353" s="16"/>
      <c r="D353" s="16"/>
      <c r="G353" s="95">
        <v>9</v>
      </c>
      <c r="H353" s="425">
        <v>72</v>
      </c>
      <c r="I353" s="425">
        <v>44927</v>
      </c>
      <c r="J353" s="425"/>
      <c r="K353" s="425"/>
      <c r="L353" s="425"/>
      <c r="M353" s="425">
        <f>M352</f>
        <v>72.807077540065038</v>
      </c>
      <c r="N353" s="425"/>
      <c r="O353" s="425">
        <f t="shared" si="110"/>
        <v>-0.80707754006503762</v>
      </c>
      <c r="P353" s="425"/>
      <c r="Q353" s="426"/>
      <c r="R353" s="426"/>
    </row>
    <row r="354" spans="1:30" hidden="1" outlineLevel="1">
      <c r="A354" s="16"/>
      <c r="B354" s="94"/>
      <c r="C354" s="16"/>
      <c r="D354" s="16"/>
      <c r="G354" s="95">
        <v>10</v>
      </c>
      <c r="H354" s="425">
        <v>78</v>
      </c>
      <c r="I354" s="425">
        <v>45139</v>
      </c>
      <c r="J354" s="425"/>
      <c r="K354" s="425"/>
      <c r="L354" s="425"/>
      <c r="M354" s="425">
        <f>(I335+K335+M335+O335+Q335+S335+U335)/AF335*100+W335/AF335*1/6*100</f>
        <v>78.853495957795928</v>
      </c>
      <c r="N354" s="425"/>
      <c r="O354" s="425">
        <f t="shared" si="110"/>
        <v>-0.85349595779592846</v>
      </c>
      <c r="P354" s="425"/>
      <c r="Q354" s="426"/>
      <c r="R354" s="426"/>
    </row>
    <row r="355" spans="1:30" hidden="1" outlineLevel="1">
      <c r="A355" s="16"/>
      <c r="B355" s="94"/>
      <c r="C355" s="16"/>
      <c r="D355" s="16"/>
      <c r="G355" s="95">
        <v>11</v>
      </c>
      <c r="H355" s="425">
        <v>82</v>
      </c>
      <c r="I355" s="425">
        <v>45292</v>
      </c>
      <c r="J355" s="425"/>
      <c r="K355" s="425"/>
      <c r="L355" s="425"/>
      <c r="M355" s="425">
        <f>(I335+K335+M335+O335+Q335+S335+U335+W335)/AF335*100</f>
        <v>82.819465530634361</v>
      </c>
      <c r="N355" s="425"/>
      <c r="O355" s="425">
        <f t="shared" si="110"/>
        <v>-0.81946553063436056</v>
      </c>
      <c r="P355" s="425"/>
      <c r="Q355" s="426"/>
      <c r="R355" s="426"/>
    </row>
    <row r="356" spans="1:30" hidden="1" outlineLevel="1">
      <c r="A356" s="16"/>
      <c r="B356" s="94"/>
      <c r="C356" s="16"/>
      <c r="D356" s="16"/>
      <c r="G356" s="95">
        <v>12</v>
      </c>
      <c r="H356" s="425">
        <v>89</v>
      </c>
      <c r="I356" s="425">
        <v>45505</v>
      </c>
      <c r="J356" s="425"/>
      <c r="K356" s="425"/>
      <c r="L356" s="425"/>
      <c r="M356" s="425">
        <f>(I335+K335+M335+O335+Q335+S335+U335+W335+Y335)/AF335*100+AA335/AF335/6*100</f>
        <v>90.231332043532234</v>
      </c>
      <c r="N356" s="425"/>
      <c r="O356" s="425">
        <f t="shared" si="110"/>
        <v>-1.2313320435322339</v>
      </c>
      <c r="P356" s="425"/>
      <c r="Q356" s="426"/>
      <c r="R356" s="426"/>
    </row>
    <row r="357" spans="1:30" hidden="1" outlineLevel="1">
      <c r="A357" s="16"/>
      <c r="B357" s="94"/>
      <c r="C357" s="16"/>
      <c r="D357" s="16"/>
      <c r="G357" s="95">
        <v>13</v>
      </c>
      <c r="H357" s="425">
        <v>92</v>
      </c>
      <c r="I357" s="425">
        <v>45597</v>
      </c>
      <c r="J357" s="425"/>
      <c r="K357" s="425"/>
      <c r="L357" s="425"/>
      <c r="M357" s="425">
        <f>(I335+K335+M335+O335+Q335+S335+U335+W335+Y335)/AF335*100+AA335/AF335*4/6*100</f>
        <v>92.9608081412307</v>
      </c>
      <c r="N357" s="425"/>
      <c r="O357" s="425">
        <f t="shared" si="110"/>
        <v>-0.96080814123070013</v>
      </c>
      <c r="P357" s="425"/>
      <c r="Q357" s="426"/>
      <c r="R357" s="426"/>
    </row>
    <row r="358" spans="1:30" hidden="1" outlineLevel="1">
      <c r="A358" s="16"/>
      <c r="B358" s="94"/>
      <c r="C358" s="16"/>
      <c r="D358" s="16"/>
      <c r="G358" s="95">
        <v>14</v>
      </c>
      <c r="H358" s="425">
        <v>96</v>
      </c>
      <c r="I358" s="425">
        <v>45778</v>
      </c>
      <c r="J358" s="425"/>
      <c r="K358" s="425"/>
      <c r="L358" s="425"/>
      <c r="M358" s="425">
        <f>(I335+K335+M335+O335+Q335+S335+U335+W335+Y335+AA335)/AF335*100+AC335/AF335*4/6*100</f>
        <v>96.572692226651469</v>
      </c>
      <c r="N358" s="425"/>
      <c r="O358" s="425">
        <f t="shared" si="110"/>
        <v>-0.57269222665146913</v>
      </c>
      <c r="P358" s="425"/>
      <c r="Q358" s="426"/>
      <c r="R358" s="426"/>
    </row>
    <row r="359" spans="1:30" hidden="1" outlineLevel="1">
      <c r="A359" s="16"/>
      <c r="B359" s="94"/>
      <c r="C359" s="16"/>
      <c r="D359" s="16"/>
      <c r="G359" s="95">
        <v>15</v>
      </c>
      <c r="H359" s="425">
        <v>100</v>
      </c>
      <c r="I359" s="425">
        <v>46022</v>
      </c>
      <c r="J359" s="425"/>
      <c r="K359" s="425"/>
      <c r="L359" s="425"/>
      <c r="M359" s="425">
        <f>(I335+K335+M335+O335+Q335+S335+U335+W335+Y335+AA335+AC335+AD335)/AF335*100</f>
        <v>100</v>
      </c>
      <c r="N359" s="425"/>
      <c r="O359" s="425">
        <f t="shared" si="110"/>
        <v>0</v>
      </c>
      <c r="P359" s="425"/>
      <c r="Q359" s="426"/>
      <c r="R359" s="426"/>
    </row>
    <row r="360" spans="1:30" collapsed="1">
      <c r="A360" s="16"/>
      <c r="B360" s="94"/>
      <c r="C360" s="16"/>
      <c r="D360" s="16"/>
      <c r="G360" s="16"/>
      <c r="H360" s="390"/>
      <c r="I360" s="390"/>
      <c r="J360" s="390"/>
      <c r="K360" s="390"/>
      <c r="L360" s="390"/>
      <c r="M360" s="390"/>
      <c r="N360" s="390"/>
      <c r="O360" s="390"/>
      <c r="P360" s="390"/>
    </row>
    <row r="361" spans="1:30">
      <c r="A361" s="16"/>
      <c r="B361" s="94"/>
      <c r="C361" s="16"/>
      <c r="D361" s="16"/>
      <c r="G361" s="16"/>
      <c r="H361" s="390"/>
      <c r="I361" s="390"/>
      <c r="J361" s="390"/>
      <c r="K361" s="390"/>
      <c r="L361" s="390"/>
      <c r="M361" s="390"/>
      <c r="N361" s="390"/>
      <c r="O361" s="390"/>
      <c r="P361" s="390"/>
    </row>
    <row r="362" spans="1:30">
      <c r="A362" s="96" t="s">
        <v>1198</v>
      </c>
      <c r="B362" s="97"/>
      <c r="C362" s="96"/>
      <c r="D362" s="96"/>
      <c r="E362" s="85" t="s">
        <v>1199</v>
      </c>
      <c r="F362" s="85"/>
      <c r="G362" t="s">
        <v>1175</v>
      </c>
      <c r="H362" s="115" t="s">
        <v>1176</v>
      </c>
      <c r="K362" s="115" t="s">
        <v>1177</v>
      </c>
      <c r="L362" s="115" t="s">
        <v>1178</v>
      </c>
      <c r="M362" s="115" t="s">
        <v>1179</v>
      </c>
      <c r="O362" s="115" t="s">
        <v>1180</v>
      </c>
      <c r="Q362" s="115" t="s">
        <v>1181</v>
      </c>
      <c r="S362" s="115" t="s">
        <v>1182</v>
      </c>
      <c r="U362" s="115" t="s">
        <v>1183</v>
      </c>
      <c r="W362" s="115" t="s">
        <v>1184</v>
      </c>
      <c r="Y362" s="115" t="s">
        <v>1185</v>
      </c>
      <c r="AA362" s="115" t="s">
        <v>1186</v>
      </c>
      <c r="AD362" s="115" t="s">
        <v>1186</v>
      </c>
    </row>
    <row r="363" spans="1:30">
      <c r="A363" s="85"/>
      <c r="B363" s="86"/>
      <c r="C363" s="85"/>
      <c r="D363" s="85"/>
      <c r="E363" s="85"/>
      <c r="F363" s="85"/>
      <c r="G363" s="85"/>
      <c r="H363" s="427"/>
      <c r="I363" s="427"/>
      <c r="J363" s="427"/>
      <c r="K363" s="427"/>
      <c r="L363" s="427"/>
      <c r="M363" s="427"/>
      <c r="N363" s="427"/>
      <c r="O363" s="427"/>
      <c r="P363" s="427"/>
      <c r="Q363" s="427"/>
      <c r="R363" s="427"/>
      <c r="S363" s="427"/>
      <c r="T363" s="427"/>
      <c r="U363" s="427"/>
      <c r="V363" s="427"/>
      <c r="W363" s="427"/>
      <c r="X363" s="427"/>
      <c r="Y363" s="427"/>
      <c r="Z363" s="427"/>
      <c r="AA363" s="427"/>
      <c r="AB363" s="427"/>
    </row>
    <row r="364" spans="1:30">
      <c r="A364" s="96" t="s">
        <v>157</v>
      </c>
      <c r="B364" s="86"/>
      <c r="C364" s="85"/>
      <c r="D364" s="85"/>
      <c r="E364" s="85" t="s">
        <v>1200</v>
      </c>
      <c r="F364" s="85" t="s">
        <v>1201</v>
      </c>
      <c r="G364" s="85"/>
      <c r="H364" s="427"/>
      <c r="I364" s="427"/>
      <c r="J364" s="427"/>
      <c r="K364" s="427"/>
      <c r="L364" s="427"/>
      <c r="M364" s="427"/>
      <c r="N364" s="427"/>
      <c r="O364" s="427"/>
      <c r="P364" s="427"/>
      <c r="Q364" s="427"/>
      <c r="R364" s="427"/>
      <c r="S364" s="427"/>
      <c r="T364" s="427"/>
      <c r="U364" s="427"/>
      <c r="V364" s="427"/>
      <c r="W364" s="427"/>
      <c r="X364" s="427"/>
      <c r="Y364" s="427"/>
      <c r="Z364" s="427"/>
      <c r="AA364" s="427"/>
      <c r="AB364" s="427"/>
    </row>
    <row r="365" spans="1:30">
      <c r="A365" s="85"/>
      <c r="B365" s="86"/>
      <c r="C365" s="85"/>
      <c r="D365" s="85"/>
      <c r="E365" s="85"/>
      <c r="F365" s="85"/>
      <c r="G365" s="85"/>
      <c r="H365" s="427"/>
      <c r="I365" s="427"/>
      <c r="J365" s="427"/>
      <c r="K365" s="427"/>
      <c r="L365" s="427"/>
      <c r="M365" s="427"/>
      <c r="N365" s="427"/>
      <c r="O365" s="427"/>
      <c r="P365" s="427"/>
      <c r="Q365" s="427"/>
      <c r="R365" s="427"/>
      <c r="S365" s="427"/>
      <c r="T365" s="427"/>
      <c r="U365" s="427"/>
      <c r="V365" s="427"/>
      <c r="W365" s="427"/>
      <c r="X365" s="427"/>
      <c r="Y365" s="427"/>
      <c r="Z365" s="427"/>
      <c r="AA365" s="427"/>
      <c r="AB365" s="427"/>
    </row>
    <row r="366" spans="1:30">
      <c r="A366" s="85" t="s">
        <v>1202</v>
      </c>
      <c r="B366" s="98" t="s">
        <v>1203</v>
      </c>
      <c r="C366" s="98"/>
      <c r="D366" s="98"/>
      <c r="E366" s="85"/>
      <c r="F366" s="85"/>
      <c r="G366" s="85"/>
      <c r="H366" s="427"/>
      <c r="I366" s="427"/>
      <c r="J366" s="427"/>
      <c r="K366" s="427"/>
      <c r="L366" s="427"/>
      <c r="M366" s="427"/>
      <c r="N366" s="427"/>
      <c r="O366" s="427"/>
      <c r="P366" s="427"/>
      <c r="Q366" s="427"/>
      <c r="R366" s="427"/>
      <c r="S366" s="427"/>
      <c r="T366" s="427"/>
      <c r="U366" s="427"/>
      <c r="V366" s="427"/>
      <c r="W366" s="427"/>
      <c r="X366" s="427"/>
      <c r="Y366" s="427"/>
      <c r="Z366" s="427"/>
      <c r="AA366" s="427"/>
      <c r="AB366" s="427"/>
    </row>
    <row r="367" spans="1:30">
      <c r="A367" s="85"/>
      <c r="B367" s="99" t="s">
        <v>1204</v>
      </c>
      <c r="C367" s="99"/>
      <c r="D367" s="99"/>
      <c r="E367" s="85"/>
      <c r="F367" s="85">
        <v>20</v>
      </c>
      <c r="G367" s="85"/>
      <c r="H367" s="427"/>
      <c r="I367" s="427"/>
      <c r="J367" s="427"/>
      <c r="K367" s="427"/>
      <c r="L367" s="427"/>
      <c r="M367" s="427"/>
      <c r="N367" s="427"/>
      <c r="O367" s="427"/>
      <c r="P367" s="427"/>
      <c r="Q367" s="427"/>
      <c r="R367" s="427"/>
      <c r="S367" s="427"/>
      <c r="T367" s="427"/>
      <c r="U367" s="427"/>
      <c r="V367" s="427"/>
      <c r="W367" s="427"/>
      <c r="X367" s="427"/>
      <c r="Y367" s="427"/>
      <c r="Z367" s="427"/>
      <c r="AA367" s="427"/>
      <c r="AB367" s="427"/>
    </row>
    <row r="368" spans="1:30">
      <c r="A368" s="85"/>
      <c r="B368" s="99" t="s">
        <v>1205</v>
      </c>
      <c r="C368" s="99"/>
      <c r="D368" s="99"/>
      <c r="E368" s="85">
        <v>14</v>
      </c>
      <c r="F368" s="85"/>
      <c r="G368" s="85"/>
      <c r="H368" s="427"/>
      <c r="I368" s="427"/>
      <c r="J368" s="427"/>
      <c r="K368" s="427"/>
      <c r="L368" s="427"/>
      <c r="M368" s="427"/>
      <c r="N368" s="427"/>
      <c r="O368" s="427"/>
      <c r="P368" s="427"/>
      <c r="Q368" s="427"/>
      <c r="R368" s="427"/>
      <c r="S368" s="427"/>
      <c r="T368" s="427"/>
      <c r="U368" s="427"/>
      <c r="V368" s="427"/>
      <c r="W368" s="427"/>
      <c r="X368" s="427"/>
      <c r="Y368" s="427"/>
      <c r="Z368" s="427"/>
      <c r="AA368" s="427"/>
      <c r="AB368" s="427"/>
    </row>
    <row r="369" spans="1:28">
      <c r="A369" s="85"/>
      <c r="B369" s="99" t="s">
        <v>1206</v>
      </c>
      <c r="C369" s="99"/>
      <c r="D369" s="99"/>
      <c r="E369" s="85">
        <v>1.6</v>
      </c>
      <c r="F369" s="85"/>
      <c r="G369" s="85"/>
      <c r="H369" s="427"/>
      <c r="I369" s="427"/>
      <c r="J369" s="427"/>
      <c r="K369" s="427"/>
      <c r="L369" s="427"/>
      <c r="M369" s="427"/>
      <c r="N369" s="427"/>
      <c r="O369" s="427"/>
      <c r="P369" s="427"/>
      <c r="Q369" s="427"/>
      <c r="R369" s="427"/>
      <c r="S369" s="427"/>
      <c r="T369" s="427"/>
      <c r="U369" s="427"/>
      <c r="V369" s="427"/>
      <c r="W369" s="427"/>
      <c r="X369" s="427"/>
      <c r="Y369" s="427"/>
      <c r="Z369" s="427"/>
      <c r="AA369" s="427"/>
      <c r="AB369" s="427"/>
    </row>
    <row r="370" spans="1:28">
      <c r="A370" s="85"/>
      <c r="B370" s="99" t="s">
        <v>1207</v>
      </c>
      <c r="C370" s="99"/>
      <c r="D370" s="99"/>
      <c r="E370" s="85">
        <v>32</v>
      </c>
      <c r="F370" s="85"/>
      <c r="G370" s="85"/>
      <c r="H370" s="427"/>
      <c r="I370" s="427"/>
      <c r="J370" s="427"/>
      <c r="K370" s="427"/>
      <c r="L370" s="427"/>
      <c r="M370" s="427"/>
      <c r="N370" s="427"/>
      <c r="O370" s="427"/>
      <c r="P370" s="427"/>
      <c r="Q370" s="427"/>
      <c r="R370" s="427"/>
      <c r="S370" s="427"/>
      <c r="T370" s="427"/>
      <c r="U370" s="427"/>
      <c r="V370" s="427"/>
      <c r="W370" s="427"/>
      <c r="X370" s="427"/>
      <c r="Y370" s="427"/>
      <c r="Z370" s="427"/>
      <c r="AA370" s="427"/>
      <c r="AB370" s="427"/>
    </row>
    <row r="371" spans="1:28">
      <c r="A371" s="85"/>
      <c r="B371" s="99" t="s">
        <v>1208</v>
      </c>
      <c r="C371" s="99"/>
      <c r="D371" s="99"/>
      <c r="E371" s="85">
        <v>51</v>
      </c>
      <c r="F371" s="85"/>
      <c r="G371" s="85"/>
      <c r="H371" s="427"/>
      <c r="I371" s="427"/>
      <c r="J371" s="427"/>
      <c r="K371" s="427"/>
      <c r="L371" s="427"/>
      <c r="M371" s="427"/>
      <c r="N371" s="427"/>
      <c r="O371" s="427"/>
      <c r="P371" s="427"/>
      <c r="Q371" s="427"/>
      <c r="R371" s="427"/>
      <c r="S371" s="427"/>
      <c r="T371" s="427"/>
      <c r="U371" s="427"/>
      <c r="V371" s="427"/>
      <c r="W371" s="427"/>
      <c r="X371" s="427"/>
      <c r="Y371" s="427"/>
      <c r="Z371" s="427"/>
      <c r="AA371" s="427"/>
      <c r="AB371" s="427"/>
    </row>
    <row r="372" spans="1:28">
      <c r="A372" s="85"/>
      <c r="B372" s="99" t="s">
        <v>1209</v>
      </c>
      <c r="C372" s="99"/>
      <c r="D372" s="99"/>
      <c r="E372" s="85">
        <f>SUM(E368:E371)</f>
        <v>98.6</v>
      </c>
      <c r="F372" s="85">
        <f>F367</f>
        <v>20</v>
      </c>
      <c r="G372" s="85">
        <f>E372+F372</f>
        <v>118.6</v>
      </c>
      <c r="H372" s="427"/>
      <c r="I372" s="427"/>
      <c r="J372" s="427"/>
      <c r="K372" s="427"/>
      <c r="L372" s="427"/>
      <c r="M372" s="427">
        <f>0.25*G372</f>
        <v>29.65</v>
      </c>
      <c r="N372" s="427"/>
      <c r="O372" s="427">
        <f>0.5*G372</f>
        <v>59.3</v>
      </c>
      <c r="P372" s="427"/>
      <c r="Q372" s="427">
        <f>0.25*G372</f>
        <v>29.65</v>
      </c>
      <c r="R372" s="427"/>
      <c r="S372" s="427"/>
      <c r="T372" s="427"/>
      <c r="U372" s="427"/>
      <c r="V372" s="427"/>
      <c r="W372" s="427"/>
      <c r="X372" s="427"/>
      <c r="Y372" s="427"/>
      <c r="Z372" s="427"/>
      <c r="AA372" s="427"/>
      <c r="AB372" s="427"/>
    </row>
    <row r="373" spans="1:28">
      <c r="A373" s="85"/>
      <c r="B373" s="99"/>
      <c r="C373" s="99"/>
      <c r="D373" s="99"/>
      <c r="E373" s="85"/>
      <c r="F373" s="85"/>
      <c r="G373" s="85"/>
      <c r="H373" s="427"/>
      <c r="I373" s="427"/>
      <c r="J373" s="427"/>
      <c r="K373" s="427"/>
      <c r="L373" s="427"/>
      <c r="M373" s="427"/>
      <c r="N373" s="427"/>
      <c r="O373" s="427"/>
      <c r="P373" s="427"/>
      <c r="Q373" s="427"/>
      <c r="R373" s="427"/>
      <c r="S373" s="427"/>
      <c r="T373" s="427"/>
      <c r="U373" s="427"/>
      <c r="V373" s="427"/>
      <c r="W373" s="427"/>
      <c r="X373" s="427"/>
      <c r="Y373" s="427"/>
      <c r="Z373" s="427"/>
      <c r="AA373" s="427"/>
      <c r="AB373" s="427"/>
    </row>
    <row r="374" spans="1:28">
      <c r="A374" s="85" t="s">
        <v>1210</v>
      </c>
      <c r="B374" s="98" t="s">
        <v>1211</v>
      </c>
      <c r="C374" s="98"/>
      <c r="D374" s="98"/>
      <c r="E374" s="85"/>
      <c r="F374" s="85"/>
      <c r="G374" s="85"/>
      <c r="H374" s="427"/>
      <c r="I374" s="427"/>
      <c r="J374" s="427"/>
      <c r="K374" s="427"/>
      <c r="L374" s="427"/>
      <c r="M374" s="427"/>
      <c r="N374" s="427"/>
      <c r="O374" s="427"/>
      <c r="P374" s="427"/>
      <c r="Q374" s="427"/>
      <c r="R374" s="427"/>
      <c r="S374" s="427"/>
      <c r="T374" s="427"/>
      <c r="U374" s="427"/>
      <c r="V374" s="427"/>
      <c r="W374" s="427"/>
      <c r="X374" s="427"/>
      <c r="Y374" s="427"/>
      <c r="Z374" s="427"/>
      <c r="AA374" s="427"/>
      <c r="AB374" s="427"/>
    </row>
    <row r="375" spans="1:28">
      <c r="A375" s="85"/>
      <c r="B375" s="99" t="s">
        <v>1212</v>
      </c>
      <c r="C375" s="99"/>
      <c r="D375" s="99"/>
      <c r="E375" s="85"/>
      <c r="F375" s="85">
        <v>29</v>
      </c>
      <c r="G375" s="85"/>
      <c r="H375" s="427"/>
      <c r="I375" s="427"/>
      <c r="J375" s="427"/>
      <c r="K375" s="427"/>
      <c r="L375" s="427"/>
      <c r="M375" s="427"/>
      <c r="N375" s="427"/>
      <c r="O375" s="427"/>
      <c r="P375" s="427"/>
      <c r="Q375" s="427"/>
      <c r="R375" s="427"/>
      <c r="S375" s="427"/>
      <c r="T375" s="427"/>
      <c r="U375" s="427"/>
      <c r="V375" s="427"/>
      <c r="W375" s="427"/>
      <c r="X375" s="427"/>
      <c r="Y375" s="427"/>
      <c r="Z375" s="427"/>
      <c r="AA375" s="427"/>
      <c r="AB375" s="427"/>
    </row>
    <row r="376" spans="1:28">
      <c r="A376" s="85"/>
      <c r="B376" s="99" t="s">
        <v>1213</v>
      </c>
      <c r="C376" s="99"/>
      <c r="D376" s="99"/>
      <c r="E376" s="85">
        <v>17</v>
      </c>
      <c r="F376" s="85"/>
      <c r="G376" s="85"/>
      <c r="H376" s="427"/>
      <c r="I376" s="427"/>
      <c r="J376" s="427"/>
      <c r="K376" s="427"/>
      <c r="L376" s="427"/>
      <c r="M376" s="427"/>
      <c r="N376" s="427"/>
      <c r="O376" s="427"/>
      <c r="P376" s="427"/>
      <c r="Q376" s="427"/>
      <c r="R376" s="427"/>
      <c r="S376" s="427"/>
      <c r="T376" s="427"/>
      <c r="U376" s="427"/>
      <c r="V376" s="427"/>
      <c r="W376" s="427"/>
      <c r="X376" s="427"/>
      <c r="Y376" s="427"/>
      <c r="Z376" s="427"/>
      <c r="AA376" s="427"/>
      <c r="AB376" s="427"/>
    </row>
    <row r="377" spans="1:28">
      <c r="A377" s="85"/>
      <c r="B377" s="99" t="s">
        <v>1214</v>
      </c>
      <c r="C377" s="99"/>
      <c r="D377" s="99"/>
      <c r="E377" s="85">
        <v>1</v>
      </c>
      <c r="F377" s="85"/>
      <c r="G377" s="85"/>
      <c r="H377" s="427"/>
      <c r="I377" s="427"/>
      <c r="J377" s="427"/>
      <c r="K377" s="427"/>
      <c r="L377" s="427"/>
      <c r="M377" s="427"/>
      <c r="N377" s="427"/>
      <c r="O377" s="427"/>
      <c r="P377" s="427"/>
      <c r="Q377" s="427"/>
      <c r="R377" s="427"/>
      <c r="S377" s="427"/>
      <c r="T377" s="427"/>
      <c r="U377" s="427"/>
      <c r="V377" s="427"/>
      <c r="W377" s="427"/>
      <c r="X377" s="427"/>
      <c r="Y377" s="427"/>
      <c r="Z377" s="427"/>
      <c r="AA377" s="427"/>
      <c r="AB377" s="427"/>
    </row>
    <row r="378" spans="1:28">
      <c r="A378" s="85"/>
      <c r="B378" s="99" t="s">
        <v>1215</v>
      </c>
      <c r="C378" s="99"/>
      <c r="D378" s="99"/>
      <c r="E378" s="85"/>
      <c r="F378" s="85">
        <v>22</v>
      </c>
      <c r="G378" s="85"/>
      <c r="H378" s="427"/>
      <c r="I378" s="427"/>
      <c r="J378" s="427"/>
      <c r="K378" s="427"/>
      <c r="L378" s="427"/>
      <c r="M378" s="427"/>
      <c r="N378" s="427"/>
      <c r="O378" s="427"/>
      <c r="P378" s="427"/>
      <c r="Q378" s="427"/>
      <c r="R378" s="427"/>
      <c r="S378" s="427"/>
      <c r="T378" s="427"/>
      <c r="U378" s="427"/>
      <c r="V378" s="427"/>
      <c r="W378" s="427"/>
      <c r="X378" s="427"/>
      <c r="Y378" s="427"/>
      <c r="Z378" s="427"/>
      <c r="AA378" s="427"/>
      <c r="AB378" s="427"/>
    </row>
    <row r="379" spans="1:28">
      <c r="A379" s="85"/>
      <c r="B379" s="99" t="s">
        <v>1216</v>
      </c>
      <c r="C379" s="99"/>
      <c r="D379" s="99"/>
      <c r="E379" s="85">
        <f>SUM(E376:E378)</f>
        <v>18</v>
      </c>
      <c r="F379" s="85">
        <f>SUM(F375:F378)</f>
        <v>51</v>
      </c>
      <c r="G379" s="85">
        <f>SUM(E379:F379)</f>
        <v>69</v>
      </c>
      <c r="H379" s="427"/>
      <c r="I379" s="427"/>
      <c r="J379" s="427"/>
      <c r="K379" s="427"/>
      <c r="L379" s="427"/>
      <c r="M379" s="427">
        <f>0.25*G379</f>
        <v>17.25</v>
      </c>
      <c r="N379" s="427"/>
      <c r="O379" s="427">
        <f>0.5*G379</f>
        <v>34.5</v>
      </c>
      <c r="P379" s="427"/>
      <c r="Q379" s="427">
        <f>0.25*G379</f>
        <v>17.25</v>
      </c>
      <c r="R379" s="427"/>
      <c r="S379" s="427"/>
      <c r="T379" s="427"/>
      <c r="U379" s="427"/>
      <c r="V379" s="427"/>
      <c r="W379" s="427"/>
      <c r="X379" s="427"/>
      <c r="Y379" s="427"/>
      <c r="Z379" s="427"/>
      <c r="AA379" s="427"/>
      <c r="AB379" s="427"/>
    </row>
    <row r="380" spans="1:28">
      <c r="A380" s="85"/>
      <c r="B380" s="99"/>
      <c r="C380" s="99"/>
      <c r="D380" s="99"/>
      <c r="E380" s="85"/>
      <c r="F380" s="85"/>
      <c r="G380" s="85"/>
      <c r="H380" s="427"/>
      <c r="I380" s="427"/>
      <c r="J380" s="427"/>
      <c r="K380" s="427"/>
      <c r="L380" s="427"/>
      <c r="M380" s="427"/>
      <c r="N380" s="427"/>
      <c r="O380" s="427"/>
      <c r="P380" s="427"/>
      <c r="Q380" s="427"/>
      <c r="R380" s="427"/>
      <c r="S380" s="427"/>
      <c r="T380" s="427"/>
      <c r="U380" s="427"/>
      <c r="V380" s="427"/>
      <c r="W380" s="427"/>
      <c r="X380" s="427"/>
      <c r="Y380" s="427"/>
      <c r="Z380" s="427"/>
      <c r="AA380" s="427"/>
      <c r="AB380" s="427"/>
    </row>
    <row r="381" spans="1:28">
      <c r="A381" s="85" t="s">
        <v>1217</v>
      </c>
      <c r="B381" s="98" t="s">
        <v>1218</v>
      </c>
      <c r="C381" s="99"/>
      <c r="D381" s="99"/>
      <c r="E381" s="85"/>
      <c r="F381" s="85"/>
      <c r="G381" s="85"/>
      <c r="H381" s="427"/>
      <c r="I381" s="427"/>
      <c r="J381" s="427"/>
      <c r="K381" s="427"/>
      <c r="L381" s="427"/>
      <c r="M381" s="427"/>
      <c r="N381" s="427"/>
      <c r="O381" s="427"/>
      <c r="P381" s="427"/>
      <c r="Q381" s="427"/>
      <c r="R381" s="427"/>
      <c r="S381" s="427"/>
      <c r="T381" s="427"/>
      <c r="U381" s="427"/>
      <c r="V381" s="427"/>
      <c r="W381" s="427"/>
      <c r="X381" s="427"/>
      <c r="Y381" s="427"/>
      <c r="Z381" s="427"/>
      <c r="AA381" s="427"/>
      <c r="AB381" s="427"/>
    </row>
    <row r="382" spans="1:28">
      <c r="A382" s="85"/>
      <c r="B382" s="99" t="s">
        <v>1219</v>
      </c>
      <c r="C382" s="99"/>
      <c r="D382" s="99"/>
      <c r="E382" s="85"/>
      <c r="F382" s="85">
        <v>55</v>
      </c>
      <c r="G382" s="85"/>
      <c r="H382" s="427"/>
      <c r="I382" s="427"/>
      <c r="J382" s="427"/>
      <c r="K382" s="427"/>
      <c r="L382" s="427"/>
      <c r="M382" s="427"/>
      <c r="N382" s="427"/>
      <c r="O382" s="427"/>
      <c r="P382" s="427"/>
      <c r="Q382" s="427"/>
      <c r="R382" s="427"/>
      <c r="S382" s="427"/>
      <c r="T382" s="427"/>
      <c r="U382" s="427"/>
      <c r="V382" s="427"/>
      <c r="W382" s="427"/>
      <c r="X382" s="427"/>
      <c r="Y382" s="427"/>
      <c r="Z382" s="427"/>
      <c r="AA382" s="427"/>
      <c r="AB382" s="427"/>
    </row>
    <row r="383" spans="1:28">
      <c r="A383" s="85"/>
      <c r="B383" s="99" t="s">
        <v>1220</v>
      </c>
      <c r="C383" s="99"/>
      <c r="D383" s="99"/>
      <c r="E383" s="85">
        <v>19</v>
      </c>
      <c r="F383" s="85"/>
      <c r="G383" s="85"/>
      <c r="H383" s="427"/>
      <c r="I383" s="427"/>
      <c r="J383" s="427"/>
      <c r="K383" s="427"/>
      <c r="L383" s="427"/>
      <c r="M383" s="427"/>
      <c r="N383" s="427"/>
      <c r="O383" s="427"/>
      <c r="P383" s="427"/>
      <c r="Q383" s="427"/>
      <c r="R383" s="427"/>
      <c r="S383" s="427"/>
      <c r="T383" s="427"/>
      <c r="U383" s="427"/>
      <c r="V383" s="427"/>
      <c r="W383" s="427"/>
      <c r="X383" s="427"/>
      <c r="Y383" s="427"/>
      <c r="Z383" s="427"/>
      <c r="AA383" s="427"/>
      <c r="AB383" s="427"/>
    </row>
    <row r="384" spans="1:28">
      <c r="A384" s="85"/>
      <c r="B384" s="99" t="s">
        <v>1216</v>
      </c>
      <c r="C384" s="99"/>
      <c r="D384" s="99"/>
      <c r="E384" s="85">
        <f>SUM(E383)</f>
        <v>19</v>
      </c>
      <c r="F384" s="85">
        <f>SUM(F382:F383)</f>
        <v>55</v>
      </c>
      <c r="G384" s="85">
        <f>SUM(E384:F384)</f>
        <v>74</v>
      </c>
      <c r="H384" s="427"/>
      <c r="I384" s="427"/>
      <c r="J384" s="427"/>
      <c r="K384" s="427"/>
      <c r="L384" s="427"/>
      <c r="M384" s="427">
        <f>E384</f>
        <v>19</v>
      </c>
      <c r="N384" s="427"/>
      <c r="O384" s="427"/>
      <c r="P384" s="427"/>
      <c r="Q384" s="427">
        <f>F384</f>
        <v>55</v>
      </c>
      <c r="R384" s="427"/>
      <c r="S384" s="427"/>
      <c r="T384" s="427"/>
      <c r="U384" s="427"/>
      <c r="V384" s="427"/>
      <c r="W384" s="427"/>
      <c r="X384" s="427"/>
      <c r="Y384" s="427"/>
      <c r="Z384" s="427"/>
      <c r="AA384" s="427"/>
      <c r="AB384" s="427"/>
    </row>
    <row r="385" spans="1:28">
      <c r="A385" s="85"/>
      <c r="B385" s="99"/>
      <c r="C385" s="99"/>
      <c r="D385" s="99"/>
      <c r="E385" s="85"/>
      <c r="F385" s="85"/>
      <c r="G385" s="85"/>
      <c r="H385" s="427"/>
      <c r="I385" s="427"/>
      <c r="J385" s="427"/>
      <c r="K385" s="427"/>
      <c r="L385" s="427"/>
      <c r="M385" s="427"/>
      <c r="N385" s="427"/>
      <c r="O385" s="427"/>
      <c r="P385" s="427"/>
      <c r="Q385" s="427"/>
      <c r="R385" s="427"/>
      <c r="S385" s="427"/>
      <c r="T385" s="427"/>
      <c r="U385" s="427"/>
      <c r="V385" s="427"/>
      <c r="W385" s="427"/>
      <c r="X385" s="427"/>
      <c r="Y385" s="427"/>
      <c r="Z385" s="427"/>
      <c r="AA385" s="427"/>
      <c r="AB385" s="427"/>
    </row>
    <row r="386" spans="1:28">
      <c r="A386" s="85" t="s">
        <v>1221</v>
      </c>
      <c r="B386" s="98" t="s">
        <v>1222</v>
      </c>
      <c r="C386" s="99"/>
      <c r="D386" s="99"/>
      <c r="E386" s="85"/>
      <c r="F386" s="85"/>
      <c r="G386" s="85"/>
      <c r="H386" s="427"/>
      <c r="I386" s="427"/>
      <c r="J386" s="427"/>
      <c r="K386" s="427"/>
      <c r="L386" s="427"/>
      <c r="M386" s="427"/>
      <c r="N386" s="427"/>
      <c r="O386" s="427"/>
      <c r="P386" s="427"/>
      <c r="Q386" s="427"/>
      <c r="R386" s="427"/>
      <c r="S386" s="427"/>
      <c r="T386" s="427"/>
      <c r="U386" s="427"/>
      <c r="V386" s="427"/>
      <c r="W386" s="427"/>
      <c r="X386" s="427"/>
      <c r="Y386" s="427"/>
      <c r="Z386" s="427"/>
      <c r="AA386" s="427"/>
      <c r="AB386" s="427"/>
    </row>
    <row r="387" spans="1:28">
      <c r="A387" s="85"/>
      <c r="B387" s="99" t="s">
        <v>1223</v>
      </c>
      <c r="C387" s="99"/>
      <c r="D387" s="99"/>
      <c r="E387" s="85"/>
      <c r="F387" s="85">
        <v>520</v>
      </c>
      <c r="G387" s="85"/>
      <c r="H387" s="427"/>
      <c r="I387" s="427"/>
      <c r="J387" s="427"/>
      <c r="K387" s="427"/>
      <c r="L387" s="427"/>
      <c r="M387" s="427"/>
      <c r="N387" s="427"/>
      <c r="O387" s="427"/>
      <c r="P387" s="427"/>
      <c r="Q387" s="427"/>
      <c r="R387" s="427"/>
      <c r="S387" s="427"/>
      <c r="T387" s="427"/>
      <c r="U387" s="427"/>
      <c r="V387" s="427"/>
      <c r="W387" s="427"/>
      <c r="X387" s="427"/>
      <c r="Y387" s="427"/>
      <c r="Z387" s="427"/>
      <c r="AA387" s="427"/>
      <c r="AB387" s="427"/>
    </row>
    <row r="388" spans="1:28">
      <c r="A388" s="85"/>
      <c r="B388" s="99" t="s">
        <v>1224</v>
      </c>
      <c r="C388" s="99"/>
      <c r="D388" s="99"/>
      <c r="E388" s="85"/>
      <c r="F388" s="85">
        <v>200</v>
      </c>
      <c r="G388" s="85"/>
      <c r="H388" s="427"/>
      <c r="I388" s="427"/>
      <c r="J388" s="427"/>
      <c r="K388" s="427"/>
      <c r="L388" s="427"/>
      <c r="M388" s="427"/>
      <c r="N388" s="427"/>
      <c r="O388" s="427"/>
      <c r="P388" s="427"/>
      <c r="Q388" s="427"/>
      <c r="R388" s="427"/>
      <c r="S388" s="427"/>
      <c r="T388" s="427"/>
      <c r="U388" s="427"/>
      <c r="V388" s="427"/>
      <c r="W388" s="427"/>
      <c r="X388" s="427"/>
      <c r="Y388" s="427"/>
      <c r="Z388" s="427"/>
      <c r="AA388" s="427"/>
      <c r="AB388" s="427"/>
    </row>
    <row r="389" spans="1:28">
      <c r="A389" s="85"/>
      <c r="B389" s="99" t="s">
        <v>1207</v>
      </c>
      <c r="C389" s="99"/>
      <c r="D389" s="99"/>
      <c r="E389" s="85"/>
      <c r="F389" s="85">
        <v>100</v>
      </c>
      <c r="G389" s="85"/>
      <c r="H389" s="427"/>
      <c r="I389" s="427"/>
      <c r="J389" s="427"/>
      <c r="K389" s="427"/>
      <c r="L389" s="427"/>
      <c r="M389" s="427"/>
      <c r="N389" s="427"/>
      <c r="O389" s="427"/>
      <c r="P389" s="427"/>
      <c r="Q389" s="427"/>
      <c r="R389" s="427"/>
      <c r="S389" s="427"/>
      <c r="T389" s="427"/>
      <c r="U389" s="427"/>
      <c r="V389" s="427"/>
      <c r="W389" s="427"/>
      <c r="X389" s="427"/>
      <c r="Y389" s="427"/>
      <c r="Z389" s="427"/>
      <c r="AA389" s="427"/>
      <c r="AB389" s="427"/>
    </row>
    <row r="390" spans="1:28">
      <c r="A390" s="85"/>
      <c r="B390" s="99" t="s">
        <v>1225</v>
      </c>
      <c r="C390" s="99"/>
      <c r="D390" s="99"/>
      <c r="E390" s="85">
        <v>40</v>
      </c>
      <c r="F390" s="85"/>
      <c r="G390" s="85"/>
      <c r="H390" s="427"/>
      <c r="I390" s="427"/>
      <c r="J390" s="427"/>
      <c r="K390" s="427"/>
      <c r="L390" s="427"/>
      <c r="M390" s="427"/>
      <c r="N390" s="427"/>
      <c r="O390" s="427"/>
      <c r="P390" s="427"/>
      <c r="Q390" s="427"/>
      <c r="R390" s="427"/>
      <c r="S390" s="427"/>
      <c r="T390" s="427"/>
      <c r="U390" s="427"/>
      <c r="V390" s="427"/>
      <c r="W390" s="427"/>
      <c r="X390" s="427"/>
      <c r="Y390" s="427"/>
      <c r="Z390" s="427"/>
      <c r="AA390" s="427"/>
      <c r="AB390" s="427"/>
    </row>
    <row r="391" spans="1:28">
      <c r="A391" s="85"/>
      <c r="B391" s="99" t="s">
        <v>1226</v>
      </c>
      <c r="C391" s="99"/>
      <c r="D391" s="99"/>
      <c r="E391" s="85">
        <v>10</v>
      </c>
      <c r="F391" s="85"/>
      <c r="G391" s="85"/>
      <c r="H391" s="427"/>
      <c r="I391" s="427"/>
      <c r="J391" s="427"/>
      <c r="K391" s="427"/>
      <c r="L391" s="427"/>
      <c r="M391" s="427"/>
      <c r="N391" s="427"/>
      <c r="O391" s="427"/>
      <c r="P391" s="427"/>
      <c r="Q391" s="427"/>
      <c r="R391" s="427"/>
      <c r="S391" s="427"/>
      <c r="T391" s="427"/>
      <c r="U391" s="427"/>
      <c r="V391" s="427"/>
      <c r="W391" s="427"/>
      <c r="X391" s="427"/>
      <c r="Y391" s="427"/>
      <c r="Z391" s="427"/>
      <c r="AA391" s="427"/>
      <c r="AB391" s="427"/>
    </row>
    <row r="392" spans="1:28">
      <c r="A392" s="85"/>
      <c r="B392" s="99" t="s">
        <v>1227</v>
      </c>
      <c r="C392" s="99"/>
      <c r="D392" s="99"/>
      <c r="E392" s="85">
        <v>218</v>
      </c>
      <c r="F392" s="85"/>
      <c r="G392" s="85"/>
      <c r="H392" s="427"/>
      <c r="I392" s="427"/>
      <c r="J392" s="427"/>
      <c r="K392" s="427"/>
      <c r="L392" s="427"/>
      <c r="M392" s="427"/>
      <c r="N392" s="427"/>
      <c r="O392" s="427"/>
      <c r="P392" s="427"/>
      <c r="Q392" s="427"/>
      <c r="R392" s="427"/>
      <c r="S392" s="427"/>
      <c r="T392" s="427"/>
      <c r="U392" s="427"/>
      <c r="V392" s="427"/>
      <c r="W392" s="427"/>
      <c r="X392" s="427"/>
      <c r="Y392" s="427"/>
      <c r="Z392" s="427"/>
      <c r="AA392" s="427"/>
      <c r="AB392" s="427"/>
    </row>
    <row r="393" spans="1:28">
      <c r="A393" s="85"/>
      <c r="B393" s="99" t="s">
        <v>1216</v>
      </c>
      <c r="C393" s="99"/>
      <c r="D393" s="99"/>
      <c r="E393" s="85">
        <f>SUM(E390:E392)</f>
        <v>268</v>
      </c>
      <c r="F393" s="85">
        <f>SUM(F387:F392)</f>
        <v>820</v>
      </c>
      <c r="G393" s="85">
        <f>SUM(E393:F393)</f>
        <v>1088</v>
      </c>
      <c r="H393" s="427"/>
      <c r="I393" s="427"/>
      <c r="J393" s="427"/>
      <c r="K393" s="427"/>
      <c r="L393" s="427"/>
      <c r="M393" s="427">
        <f>0.2*G393</f>
        <v>217.60000000000002</v>
      </c>
      <c r="N393" s="427"/>
      <c r="O393" s="427">
        <f>0.3*G393</f>
        <v>326.39999999999998</v>
      </c>
      <c r="P393" s="427"/>
      <c r="Q393" s="427">
        <f>0.3*G393</f>
        <v>326.39999999999998</v>
      </c>
      <c r="R393" s="427"/>
      <c r="S393" s="427">
        <f>0.2*G393</f>
        <v>217.60000000000002</v>
      </c>
      <c r="T393" s="427"/>
      <c r="U393" s="427"/>
      <c r="V393" s="427"/>
      <c r="W393" s="427"/>
      <c r="X393" s="427"/>
      <c r="Y393" s="427"/>
      <c r="Z393" s="427"/>
      <c r="AA393" s="427"/>
      <c r="AB393" s="427"/>
    </row>
    <row r="394" spans="1:28">
      <c r="A394" s="85"/>
      <c r="B394" s="99"/>
      <c r="C394" s="99"/>
      <c r="D394" s="99"/>
      <c r="E394" s="85"/>
      <c r="F394" s="85"/>
      <c r="G394" s="85"/>
      <c r="H394" s="427"/>
      <c r="I394" s="427"/>
      <c r="J394" s="427"/>
      <c r="K394" s="427"/>
      <c r="L394" s="427"/>
      <c r="M394" s="427"/>
      <c r="N394" s="427"/>
      <c r="O394" s="427"/>
      <c r="P394" s="427"/>
      <c r="Q394" s="427"/>
      <c r="R394" s="427"/>
      <c r="S394" s="427"/>
      <c r="T394" s="427"/>
      <c r="U394" s="427"/>
      <c r="V394" s="427"/>
      <c r="W394" s="427"/>
      <c r="X394" s="427"/>
      <c r="Y394" s="427"/>
      <c r="Z394" s="427"/>
      <c r="AA394" s="427"/>
      <c r="AB394" s="427"/>
    </row>
    <row r="395" spans="1:28">
      <c r="A395" s="85"/>
      <c r="B395" s="99" t="s">
        <v>1228</v>
      </c>
      <c r="C395" s="99"/>
      <c r="D395" s="99"/>
      <c r="E395" s="85"/>
      <c r="F395" s="85">
        <v>105</v>
      </c>
      <c r="G395" s="85"/>
      <c r="H395" s="427"/>
      <c r="I395" s="427"/>
      <c r="J395" s="427"/>
      <c r="K395" s="427"/>
      <c r="L395" s="427"/>
      <c r="M395" s="427"/>
      <c r="N395" s="427"/>
      <c r="O395" s="427"/>
      <c r="P395" s="427"/>
      <c r="Q395" s="427"/>
      <c r="R395" s="427"/>
      <c r="S395" s="427"/>
      <c r="T395" s="427"/>
      <c r="U395" s="427"/>
      <c r="V395" s="427"/>
      <c r="W395" s="427"/>
      <c r="X395" s="427"/>
      <c r="Y395" s="427"/>
      <c r="Z395" s="427"/>
      <c r="AA395" s="427"/>
      <c r="AB395" s="427"/>
    </row>
    <row r="396" spans="1:28">
      <c r="A396" s="85"/>
      <c r="B396" s="99" t="s">
        <v>1229</v>
      </c>
      <c r="C396" s="99"/>
      <c r="D396" s="99"/>
      <c r="E396" s="85"/>
      <c r="F396" s="85">
        <v>250</v>
      </c>
      <c r="G396" s="85"/>
      <c r="H396" s="427"/>
      <c r="I396" s="427"/>
      <c r="J396" s="427"/>
      <c r="K396" s="427"/>
      <c r="L396" s="427"/>
      <c r="M396" s="427"/>
      <c r="N396" s="427"/>
      <c r="O396" s="427"/>
      <c r="P396" s="427"/>
      <c r="Q396" s="427"/>
      <c r="R396" s="427"/>
      <c r="S396" s="427"/>
      <c r="T396" s="427"/>
      <c r="U396" s="427"/>
      <c r="V396" s="427"/>
      <c r="W396" s="427"/>
      <c r="X396" s="427"/>
      <c r="Y396" s="427"/>
      <c r="Z396" s="427"/>
      <c r="AA396" s="427"/>
      <c r="AB396" s="427"/>
    </row>
    <row r="397" spans="1:28">
      <c r="A397" s="85"/>
      <c r="B397" s="99" t="s">
        <v>1216</v>
      </c>
      <c r="C397" s="99"/>
      <c r="D397" s="99"/>
      <c r="E397" s="85"/>
      <c r="F397" s="85">
        <f>SUM(F395:F396)</f>
        <v>355</v>
      </c>
      <c r="G397" s="85">
        <f>SUM(F397)</f>
        <v>355</v>
      </c>
      <c r="H397" s="427"/>
      <c r="I397" s="427"/>
      <c r="J397" s="427"/>
      <c r="K397" s="427"/>
      <c r="L397" s="427"/>
      <c r="M397" s="427"/>
      <c r="N397" s="427"/>
      <c r="O397" s="427"/>
      <c r="P397" s="427"/>
      <c r="Q397" s="427"/>
      <c r="R397" s="427"/>
      <c r="S397" s="427"/>
      <c r="T397" s="427"/>
      <c r="U397" s="427"/>
      <c r="V397" s="427"/>
      <c r="W397" s="427"/>
      <c r="X397" s="427"/>
      <c r="Y397" s="427">
        <f>0.5*G397</f>
        <v>177.5</v>
      </c>
      <c r="Z397" s="427"/>
      <c r="AA397" s="427">
        <f>0.5*G397</f>
        <v>177.5</v>
      </c>
      <c r="AB397" s="427"/>
    </row>
    <row r="398" spans="1:28">
      <c r="A398" s="85"/>
      <c r="B398" s="99"/>
      <c r="C398" s="99"/>
      <c r="D398" s="99"/>
      <c r="E398" s="85"/>
      <c r="F398" s="85"/>
      <c r="G398" s="85"/>
      <c r="H398" s="427"/>
      <c r="I398" s="427"/>
      <c r="J398" s="427"/>
      <c r="K398" s="427"/>
      <c r="L398" s="427"/>
      <c r="M398" s="427"/>
      <c r="N398" s="427"/>
      <c r="O398" s="427"/>
      <c r="P398" s="427"/>
      <c r="Q398" s="427"/>
      <c r="R398" s="427"/>
      <c r="S398" s="427"/>
      <c r="T398" s="427"/>
      <c r="U398" s="427"/>
      <c r="V398" s="427"/>
      <c r="W398" s="427"/>
      <c r="X398" s="427"/>
      <c r="Y398" s="427"/>
      <c r="Z398" s="427"/>
      <c r="AA398" s="427"/>
      <c r="AB398" s="427"/>
    </row>
    <row r="399" spans="1:28">
      <c r="A399" s="85" t="s">
        <v>1230</v>
      </c>
      <c r="B399" s="98" t="s">
        <v>1231</v>
      </c>
      <c r="C399" s="99"/>
      <c r="D399" s="99"/>
      <c r="E399" s="85"/>
      <c r="F399" s="85"/>
      <c r="G399" s="85"/>
      <c r="H399" s="427"/>
      <c r="I399" s="427"/>
      <c r="J399" s="427"/>
      <c r="K399" s="427"/>
      <c r="L399" s="427"/>
      <c r="M399" s="427"/>
      <c r="N399" s="427"/>
      <c r="O399" s="427"/>
      <c r="P399" s="427"/>
      <c r="Q399" s="427"/>
      <c r="R399" s="427"/>
      <c r="S399" s="427"/>
      <c r="T399" s="427"/>
      <c r="U399" s="427"/>
      <c r="V399" s="427"/>
      <c r="W399" s="427"/>
      <c r="X399" s="427"/>
      <c r="Y399" s="427"/>
      <c r="Z399" s="427"/>
      <c r="AA399" s="427"/>
      <c r="AB399" s="427"/>
    </row>
    <row r="400" spans="1:28">
      <c r="A400" s="85"/>
      <c r="B400" s="99" t="s">
        <v>1232</v>
      </c>
      <c r="C400" s="99"/>
      <c r="D400" s="99"/>
      <c r="E400" s="85"/>
      <c r="F400" s="85">
        <v>70</v>
      </c>
      <c r="G400" s="85"/>
      <c r="H400" s="427"/>
      <c r="I400" s="427"/>
      <c r="J400" s="427"/>
      <c r="K400" s="427"/>
      <c r="L400" s="427"/>
      <c r="M400" s="427"/>
      <c r="N400" s="427"/>
      <c r="O400" s="427"/>
      <c r="P400" s="427"/>
      <c r="Q400" s="427"/>
      <c r="R400" s="427"/>
      <c r="S400" s="427"/>
      <c r="T400" s="427"/>
      <c r="U400" s="427"/>
      <c r="V400" s="427"/>
      <c r="W400" s="427"/>
      <c r="X400" s="427"/>
      <c r="Y400" s="427"/>
      <c r="Z400" s="427"/>
      <c r="AA400" s="427"/>
      <c r="AB400" s="427"/>
    </row>
    <row r="401" spans="1:28">
      <c r="A401" s="85"/>
      <c r="B401" s="99" t="s">
        <v>1214</v>
      </c>
      <c r="C401" s="99"/>
      <c r="D401" s="99"/>
      <c r="E401" s="85">
        <v>10</v>
      </c>
      <c r="F401" s="85"/>
      <c r="G401" s="85"/>
      <c r="H401" s="427"/>
      <c r="I401" s="427"/>
      <c r="J401" s="427"/>
      <c r="K401" s="427"/>
      <c r="L401" s="427"/>
      <c r="M401" s="427"/>
      <c r="N401" s="427"/>
      <c r="O401" s="427"/>
      <c r="P401" s="427"/>
      <c r="Q401" s="427"/>
      <c r="R401" s="427"/>
      <c r="S401" s="427"/>
      <c r="T401" s="427"/>
      <c r="U401" s="427"/>
      <c r="V401" s="427"/>
      <c r="W401" s="427"/>
      <c r="X401" s="427"/>
      <c r="Y401" s="427"/>
      <c r="Z401" s="427"/>
      <c r="AA401" s="427"/>
      <c r="AB401" s="427"/>
    </row>
    <row r="402" spans="1:28">
      <c r="A402" s="85"/>
      <c r="B402" s="99" t="s">
        <v>1216</v>
      </c>
      <c r="C402" s="99"/>
      <c r="D402" s="99"/>
      <c r="E402" s="85">
        <f>SUM(E401)</f>
        <v>10</v>
      </c>
      <c r="F402" s="85">
        <f>SUM(F400:F401)</f>
        <v>70</v>
      </c>
      <c r="G402" s="85">
        <f>SUM(E402:F402)</f>
        <v>80</v>
      </c>
      <c r="H402" s="427"/>
      <c r="I402" s="427"/>
      <c r="J402" s="427"/>
      <c r="K402" s="427"/>
      <c r="L402" s="427"/>
      <c r="M402" s="427"/>
      <c r="N402" s="427"/>
      <c r="O402" s="427">
        <f>G402*0.5</f>
        <v>40</v>
      </c>
      <c r="P402" s="427"/>
      <c r="Q402" s="427">
        <f>0.5*G402</f>
        <v>40</v>
      </c>
      <c r="R402" s="427"/>
      <c r="S402" s="427"/>
      <c r="T402" s="427"/>
      <c r="U402" s="427"/>
      <c r="V402" s="427"/>
      <c r="W402" s="427"/>
      <c r="X402" s="427"/>
      <c r="Y402" s="427"/>
      <c r="Z402" s="427"/>
      <c r="AA402" s="427"/>
      <c r="AB402" s="427"/>
    </row>
    <row r="403" spans="1:28">
      <c r="A403" s="85"/>
      <c r="B403" s="99"/>
      <c r="C403" s="99"/>
      <c r="D403" s="99"/>
      <c r="E403" s="85"/>
      <c r="F403" s="85"/>
      <c r="G403" s="85"/>
      <c r="H403" s="427"/>
      <c r="I403" s="427"/>
      <c r="J403" s="427"/>
      <c r="K403" s="427"/>
      <c r="L403" s="427"/>
      <c r="M403" s="427"/>
      <c r="N403" s="427"/>
      <c r="O403" s="427"/>
      <c r="P403" s="427"/>
      <c r="Q403" s="427"/>
      <c r="R403" s="427"/>
      <c r="S403" s="427"/>
      <c r="T403" s="427"/>
      <c r="U403" s="427"/>
      <c r="V403" s="427"/>
      <c r="W403" s="427"/>
      <c r="X403" s="427"/>
      <c r="Y403" s="427"/>
      <c r="Z403" s="427"/>
      <c r="AA403" s="427"/>
      <c r="AB403" s="427"/>
    </row>
    <row r="404" spans="1:28">
      <c r="A404" s="85" t="s">
        <v>1233</v>
      </c>
      <c r="B404" s="98" t="s">
        <v>1234</v>
      </c>
      <c r="C404" s="98"/>
      <c r="D404" s="98"/>
      <c r="E404" s="85"/>
      <c r="F404" s="85"/>
      <c r="G404" s="85"/>
      <c r="H404" s="427"/>
      <c r="I404" s="427"/>
      <c r="J404" s="427"/>
      <c r="K404" s="427"/>
      <c r="L404" s="427"/>
      <c r="M404" s="427"/>
      <c r="N404" s="427"/>
      <c r="O404" s="427"/>
      <c r="P404" s="427"/>
      <c r="Q404" s="427"/>
      <c r="R404" s="427"/>
      <c r="S404" s="427"/>
      <c r="T404" s="427"/>
      <c r="U404" s="427"/>
      <c r="V404" s="427"/>
      <c r="W404" s="427"/>
      <c r="X404" s="427"/>
      <c r="Y404" s="427"/>
      <c r="Z404" s="427"/>
      <c r="AA404" s="427"/>
      <c r="AB404" s="427"/>
    </row>
    <row r="405" spans="1:28">
      <c r="A405" s="85"/>
      <c r="B405" s="99" t="s">
        <v>1235</v>
      </c>
      <c r="C405" s="99"/>
      <c r="D405" s="99"/>
      <c r="E405" s="85"/>
      <c r="F405" s="85">
        <v>475</v>
      </c>
      <c r="G405" s="85"/>
      <c r="H405" s="427"/>
      <c r="I405" s="427"/>
      <c r="J405" s="427"/>
      <c r="K405" s="427"/>
      <c r="L405" s="427"/>
      <c r="M405" s="427"/>
      <c r="N405" s="427"/>
      <c r="O405" s="427"/>
      <c r="P405" s="427"/>
      <c r="Q405" s="427"/>
      <c r="R405" s="427"/>
      <c r="S405" s="427"/>
      <c r="T405" s="427"/>
      <c r="U405" s="427"/>
      <c r="V405" s="427"/>
      <c r="W405" s="427"/>
      <c r="X405" s="427"/>
      <c r="Y405" s="427"/>
      <c r="Z405" s="427"/>
      <c r="AA405" s="427"/>
      <c r="AB405" s="427"/>
    </row>
    <row r="406" spans="1:28">
      <c r="A406" s="85"/>
      <c r="B406" s="99" t="s">
        <v>1236</v>
      </c>
      <c r="C406" s="99"/>
      <c r="D406" s="99"/>
      <c r="E406" s="85">
        <v>475</v>
      </c>
      <c r="F406" s="85"/>
      <c r="G406" s="85"/>
      <c r="H406" s="427"/>
      <c r="I406" s="427"/>
      <c r="J406" s="427"/>
      <c r="K406" s="427"/>
      <c r="L406" s="427"/>
      <c r="M406" s="427"/>
      <c r="N406" s="427"/>
      <c r="O406" s="427"/>
      <c r="P406" s="427"/>
      <c r="Q406" s="427"/>
      <c r="R406" s="427"/>
      <c r="S406" s="427"/>
      <c r="T406" s="427"/>
      <c r="U406" s="427"/>
      <c r="V406" s="427"/>
      <c r="W406" s="427"/>
      <c r="X406" s="427"/>
      <c r="Y406" s="427"/>
      <c r="Z406" s="427"/>
      <c r="AA406" s="427"/>
      <c r="AB406" s="427"/>
    </row>
    <row r="407" spans="1:28">
      <c r="A407" s="85"/>
      <c r="B407" s="99" t="s">
        <v>1237</v>
      </c>
      <c r="C407" s="99"/>
      <c r="D407" s="99"/>
      <c r="E407" s="85">
        <v>60</v>
      </c>
      <c r="F407" s="85"/>
      <c r="G407" s="85"/>
      <c r="H407" s="427"/>
      <c r="I407" s="427"/>
      <c r="J407" s="427"/>
      <c r="K407" s="427"/>
      <c r="L407" s="427"/>
      <c r="M407" s="427"/>
      <c r="N407" s="427"/>
      <c r="O407" s="427"/>
      <c r="P407" s="427"/>
      <c r="Q407" s="427"/>
      <c r="R407" s="427"/>
      <c r="S407" s="427"/>
      <c r="T407" s="427"/>
      <c r="U407" s="427"/>
      <c r="V407" s="427"/>
      <c r="W407" s="427"/>
      <c r="X407" s="427"/>
      <c r="Y407" s="427"/>
      <c r="Z407" s="427"/>
      <c r="AA407" s="427"/>
      <c r="AB407" s="427"/>
    </row>
    <row r="408" spans="1:28">
      <c r="A408" s="85"/>
      <c r="B408" s="99"/>
      <c r="C408" s="99"/>
      <c r="D408" s="99"/>
      <c r="E408" s="85">
        <f>SUM(E406:E407)</f>
        <v>535</v>
      </c>
      <c r="F408" s="85">
        <f>SUM(F405:F407)</f>
        <v>475</v>
      </c>
      <c r="G408" s="85">
        <f>SUM(E408:F408)</f>
        <v>1010</v>
      </c>
      <c r="H408" s="427"/>
      <c r="I408" s="427"/>
      <c r="J408" s="427"/>
      <c r="K408" s="427">
        <f>0.25*G408</f>
        <v>252.5</v>
      </c>
      <c r="L408" s="427"/>
      <c r="M408" s="427">
        <f>0.25*G408</f>
        <v>252.5</v>
      </c>
      <c r="N408" s="427"/>
      <c r="O408" s="427">
        <f>0.25*G408</f>
        <v>252.5</v>
      </c>
      <c r="P408" s="427"/>
      <c r="Q408" s="427">
        <f>0.25*G408</f>
        <v>252.5</v>
      </c>
      <c r="R408" s="427"/>
      <c r="S408" s="427"/>
      <c r="T408" s="427"/>
      <c r="U408" s="427"/>
      <c r="V408" s="427"/>
      <c r="W408" s="427"/>
      <c r="X408" s="427"/>
      <c r="Y408" s="427"/>
      <c r="Z408" s="427"/>
      <c r="AA408" s="427"/>
      <c r="AB408" s="427"/>
    </row>
    <row r="409" spans="1:28">
      <c r="A409" s="96" t="s">
        <v>1238</v>
      </c>
      <c r="B409" s="99"/>
      <c r="C409" s="99"/>
      <c r="D409" s="99"/>
      <c r="E409" s="85"/>
      <c r="F409" s="85"/>
      <c r="G409" s="85"/>
      <c r="H409" s="427"/>
      <c r="I409" s="427"/>
      <c r="J409" s="427"/>
      <c r="K409" s="427"/>
      <c r="L409" s="427"/>
      <c r="M409" s="427"/>
      <c r="N409" s="427"/>
      <c r="O409" s="427"/>
      <c r="P409" s="427"/>
      <c r="Q409" s="427"/>
      <c r="R409" s="427"/>
      <c r="S409" s="427"/>
      <c r="T409" s="427"/>
      <c r="U409" s="427"/>
      <c r="V409" s="427"/>
      <c r="W409" s="427"/>
      <c r="X409" s="427"/>
      <c r="Y409" s="427"/>
      <c r="Z409" s="427"/>
      <c r="AA409" s="427"/>
      <c r="AB409" s="427"/>
    </row>
    <row r="410" spans="1:28">
      <c r="A410" s="85" t="s">
        <v>1202</v>
      </c>
      <c r="B410" s="98" t="s">
        <v>1239</v>
      </c>
      <c r="C410" s="98"/>
      <c r="D410" s="98"/>
      <c r="E410" s="85"/>
      <c r="F410" s="85"/>
      <c r="G410" s="85"/>
      <c r="H410" s="427"/>
      <c r="I410" s="427"/>
      <c r="J410" s="427"/>
      <c r="K410" s="427"/>
      <c r="L410" s="427"/>
      <c r="M410" s="427"/>
      <c r="N410" s="427"/>
      <c r="O410" s="427"/>
      <c r="P410" s="427"/>
      <c r="Q410" s="427"/>
      <c r="R410" s="427"/>
      <c r="S410" s="427"/>
      <c r="T410" s="427"/>
      <c r="U410" s="427"/>
      <c r="V410" s="427"/>
      <c r="W410" s="427"/>
      <c r="X410" s="427"/>
      <c r="Y410" s="427"/>
      <c r="Z410" s="427"/>
      <c r="AA410" s="427"/>
      <c r="AB410" s="427"/>
    </row>
    <row r="411" spans="1:28">
      <c r="A411" s="85"/>
      <c r="B411" s="99" t="s">
        <v>1240</v>
      </c>
      <c r="C411" s="99"/>
      <c r="D411" s="99"/>
      <c r="E411" s="85"/>
      <c r="F411" s="85">
        <v>98</v>
      </c>
      <c r="G411" s="85"/>
      <c r="H411" s="427"/>
      <c r="I411" s="427"/>
      <c r="J411" s="427"/>
      <c r="K411" s="427"/>
      <c r="L411" s="427"/>
      <c r="M411" s="427"/>
      <c r="N411" s="427"/>
      <c r="O411" s="427"/>
      <c r="P411" s="427"/>
      <c r="Q411" s="427"/>
      <c r="R411" s="427"/>
      <c r="S411" s="427"/>
      <c r="T411" s="427"/>
      <c r="U411" s="427"/>
      <c r="V411" s="427"/>
      <c r="W411" s="427"/>
      <c r="X411" s="427"/>
      <c r="Y411" s="427"/>
      <c r="Z411" s="427"/>
      <c r="AA411" s="427"/>
      <c r="AB411" s="427"/>
    </row>
    <row r="412" spans="1:28">
      <c r="A412" s="85"/>
      <c r="B412" s="99" t="s">
        <v>1241</v>
      </c>
      <c r="C412" s="99"/>
      <c r="D412" s="99"/>
      <c r="E412" s="85">
        <v>27</v>
      </c>
      <c r="F412" s="85"/>
      <c r="G412" s="85"/>
      <c r="H412" s="427"/>
      <c r="I412" s="427"/>
      <c r="J412" s="427"/>
      <c r="K412" s="427"/>
      <c r="L412" s="427"/>
      <c r="M412" s="427"/>
      <c r="N412" s="427"/>
      <c r="O412" s="427"/>
      <c r="P412" s="427"/>
      <c r="Q412" s="427"/>
      <c r="R412" s="427"/>
      <c r="S412" s="427"/>
      <c r="T412" s="427"/>
      <c r="U412" s="427"/>
      <c r="V412" s="427"/>
      <c r="W412" s="427"/>
      <c r="X412" s="427"/>
      <c r="Y412" s="427"/>
      <c r="Z412" s="427"/>
      <c r="AA412" s="427"/>
      <c r="AB412" s="427"/>
    </row>
    <row r="413" spans="1:28">
      <c r="A413" s="85"/>
      <c r="B413" s="99" t="s">
        <v>1242</v>
      </c>
      <c r="C413" s="99"/>
      <c r="D413" s="99"/>
      <c r="E413" s="85">
        <v>22</v>
      </c>
      <c r="F413" s="85"/>
      <c r="G413" s="85"/>
      <c r="H413" s="427"/>
      <c r="I413" s="427"/>
      <c r="J413" s="427"/>
      <c r="K413" s="427"/>
      <c r="L413" s="427"/>
      <c r="M413" s="427"/>
      <c r="N413" s="427"/>
      <c r="O413" s="427"/>
      <c r="P413" s="427"/>
      <c r="Q413" s="427"/>
      <c r="R413" s="427"/>
      <c r="S413" s="427"/>
      <c r="T413" s="427"/>
      <c r="U413" s="427"/>
      <c r="V413" s="427"/>
      <c r="W413" s="427"/>
      <c r="X413" s="427"/>
      <c r="Y413" s="427"/>
      <c r="Z413" s="427"/>
      <c r="AA413" s="427"/>
      <c r="AB413" s="427"/>
    </row>
    <row r="414" spans="1:28">
      <c r="A414" s="85"/>
      <c r="B414" s="99" t="s">
        <v>1243</v>
      </c>
      <c r="C414" s="99"/>
      <c r="D414" s="99"/>
      <c r="E414" s="85">
        <v>3</v>
      </c>
      <c r="F414" s="85"/>
      <c r="G414" s="85"/>
      <c r="H414" s="427"/>
      <c r="I414" s="427"/>
      <c r="J414" s="427"/>
      <c r="K414" s="427"/>
      <c r="L414" s="427"/>
      <c r="M414" s="427"/>
      <c r="N414" s="427"/>
      <c r="O414" s="427"/>
      <c r="P414" s="427"/>
      <c r="Q414" s="427"/>
      <c r="R414" s="427"/>
      <c r="S414" s="427"/>
      <c r="T414" s="427"/>
      <c r="U414" s="427"/>
      <c r="V414" s="427"/>
      <c r="W414" s="427"/>
      <c r="X414" s="427"/>
      <c r="Y414" s="427"/>
      <c r="Z414" s="427"/>
      <c r="AA414" s="427"/>
      <c r="AB414" s="427"/>
    </row>
    <row r="415" spans="1:28">
      <c r="A415" s="85"/>
      <c r="B415" s="99" t="s">
        <v>1216</v>
      </c>
      <c r="C415" s="99"/>
      <c r="D415" s="99"/>
      <c r="E415" s="85">
        <f>SUM(E412:E414)</f>
        <v>52</v>
      </c>
      <c r="F415" s="85">
        <f>SUM(F411:F414)</f>
        <v>98</v>
      </c>
      <c r="G415" s="85">
        <f>SUM(E415:F415)</f>
        <v>150</v>
      </c>
      <c r="H415" s="427"/>
      <c r="I415" s="427"/>
      <c r="J415" s="427"/>
      <c r="K415" s="427">
        <f>0.25*G415</f>
        <v>37.5</v>
      </c>
      <c r="L415" s="427"/>
      <c r="M415" s="427">
        <f>0.5*G415</f>
        <v>75</v>
      </c>
      <c r="N415" s="427"/>
      <c r="O415" s="427">
        <f>0.25*G415</f>
        <v>37.5</v>
      </c>
      <c r="P415" s="427"/>
      <c r="Q415" s="427"/>
      <c r="R415" s="427"/>
      <c r="S415" s="427"/>
      <c r="T415" s="427"/>
      <c r="U415" s="427"/>
      <c r="V415" s="427"/>
      <c r="W415" s="427"/>
      <c r="X415" s="427"/>
      <c r="Y415" s="427"/>
      <c r="Z415" s="427"/>
      <c r="AA415" s="427"/>
      <c r="AB415" s="427"/>
    </row>
    <row r="416" spans="1:28">
      <c r="A416" s="85"/>
      <c r="B416" s="99"/>
      <c r="C416" s="99"/>
      <c r="D416" s="99"/>
      <c r="E416" s="85"/>
      <c r="F416" s="85"/>
      <c r="G416" s="85"/>
      <c r="H416" s="427"/>
      <c r="I416" s="427"/>
      <c r="J416" s="427"/>
      <c r="K416" s="427"/>
      <c r="L416" s="427"/>
      <c r="M416" s="427"/>
      <c r="N416" s="427"/>
      <c r="O416" s="427"/>
      <c r="P416" s="427"/>
      <c r="Q416" s="427"/>
      <c r="R416" s="427"/>
      <c r="S416" s="427"/>
      <c r="T416" s="427"/>
      <c r="U416" s="427"/>
      <c r="V416" s="427"/>
      <c r="W416" s="427"/>
      <c r="X416" s="427"/>
      <c r="Y416" s="427"/>
      <c r="Z416" s="427"/>
      <c r="AA416" s="427"/>
      <c r="AB416" s="427"/>
    </row>
    <row r="417" spans="1:28">
      <c r="A417" s="85" t="s">
        <v>1210</v>
      </c>
      <c r="B417" s="98" t="s">
        <v>1244</v>
      </c>
      <c r="C417" s="98"/>
      <c r="D417" s="98"/>
      <c r="E417" s="85"/>
      <c r="F417" s="85"/>
      <c r="G417" s="85"/>
      <c r="H417" s="427"/>
      <c r="I417" s="427"/>
      <c r="J417" s="427"/>
      <c r="K417" s="427"/>
      <c r="L417" s="427"/>
      <c r="M417" s="427"/>
      <c r="N417" s="427"/>
      <c r="O417" s="427"/>
      <c r="P417" s="427"/>
      <c r="Q417" s="427"/>
      <c r="R417" s="427"/>
      <c r="S417" s="427"/>
      <c r="T417" s="427"/>
      <c r="U417" s="427"/>
      <c r="V417" s="427"/>
      <c r="W417" s="427"/>
      <c r="X417" s="427"/>
      <c r="Y417" s="427"/>
      <c r="Z417" s="427"/>
      <c r="AA417" s="427"/>
      <c r="AB417" s="427"/>
    </row>
    <row r="418" spans="1:28">
      <c r="A418" s="85"/>
      <c r="B418" s="99" t="s">
        <v>1245</v>
      </c>
      <c r="C418" s="99"/>
      <c r="D418" s="99"/>
      <c r="E418" s="85"/>
      <c r="F418" s="85">
        <v>66</v>
      </c>
      <c r="G418" s="85"/>
      <c r="H418" s="427"/>
      <c r="I418" s="427"/>
      <c r="J418" s="427"/>
      <c r="K418" s="427"/>
      <c r="L418" s="427"/>
      <c r="M418" s="427"/>
      <c r="N418" s="427"/>
      <c r="O418" s="427"/>
      <c r="P418" s="427"/>
      <c r="Q418" s="427"/>
      <c r="R418" s="427"/>
      <c r="S418" s="427"/>
      <c r="T418" s="427"/>
      <c r="U418" s="427"/>
      <c r="V418" s="427"/>
      <c r="W418" s="427"/>
      <c r="X418" s="427"/>
      <c r="Y418" s="427"/>
      <c r="Z418" s="427"/>
      <c r="AA418" s="427"/>
      <c r="AB418" s="427"/>
    </row>
    <row r="419" spans="1:28">
      <c r="A419" s="85"/>
      <c r="B419" s="99" t="s">
        <v>1241</v>
      </c>
      <c r="C419" s="99"/>
      <c r="D419" s="99"/>
      <c r="E419" s="85">
        <v>28</v>
      </c>
      <c r="F419" s="85"/>
      <c r="G419" s="85"/>
      <c r="H419" s="427"/>
      <c r="I419" s="427"/>
      <c r="J419" s="427"/>
      <c r="K419" s="427"/>
      <c r="L419" s="427"/>
      <c r="M419" s="427"/>
      <c r="N419" s="427"/>
      <c r="O419" s="427"/>
      <c r="P419" s="427"/>
      <c r="Q419" s="427"/>
      <c r="R419" s="427"/>
      <c r="S419" s="427"/>
      <c r="T419" s="427"/>
      <c r="U419" s="427"/>
      <c r="V419" s="427"/>
      <c r="W419" s="427"/>
      <c r="X419" s="427"/>
      <c r="Y419" s="427"/>
      <c r="Z419" s="427"/>
      <c r="AA419" s="427"/>
      <c r="AB419" s="427"/>
    </row>
    <row r="420" spans="1:28">
      <c r="A420" s="85"/>
      <c r="B420" s="99" t="s">
        <v>1242</v>
      </c>
      <c r="C420" s="99"/>
      <c r="D420" s="99"/>
      <c r="E420" s="85">
        <v>17</v>
      </c>
      <c r="F420" s="85"/>
      <c r="G420" s="85"/>
      <c r="H420" s="427"/>
      <c r="I420" s="427"/>
      <c r="J420" s="427"/>
      <c r="K420" s="427"/>
      <c r="L420" s="427"/>
      <c r="M420" s="427"/>
      <c r="N420" s="427"/>
      <c r="O420" s="427"/>
      <c r="P420" s="427"/>
      <c r="Q420" s="427"/>
      <c r="R420" s="427"/>
      <c r="S420" s="427"/>
      <c r="T420" s="427"/>
      <c r="U420" s="427"/>
      <c r="V420" s="427"/>
      <c r="W420" s="427"/>
      <c r="X420" s="427"/>
      <c r="Y420" s="427"/>
      <c r="Z420" s="427"/>
      <c r="AA420" s="427"/>
      <c r="AB420" s="427"/>
    </row>
    <row r="421" spans="1:28">
      <c r="A421" s="85"/>
      <c r="B421" s="99" t="s">
        <v>1246</v>
      </c>
      <c r="C421" s="99"/>
      <c r="D421" s="99"/>
      <c r="E421" s="85">
        <v>5.5</v>
      </c>
      <c r="F421" s="85"/>
      <c r="G421" s="85"/>
      <c r="H421" s="427"/>
      <c r="I421" s="427"/>
      <c r="J421" s="427"/>
      <c r="K421" s="427"/>
      <c r="L421" s="427"/>
      <c r="M421" s="427"/>
      <c r="N421" s="427"/>
      <c r="O421" s="427"/>
      <c r="P421" s="427"/>
      <c r="Q421" s="427"/>
      <c r="R421" s="427"/>
      <c r="S421" s="427"/>
      <c r="T421" s="427"/>
      <c r="U421" s="427"/>
      <c r="V421" s="427"/>
      <c r="W421" s="427"/>
      <c r="X421" s="427"/>
      <c r="Y421" s="427"/>
      <c r="Z421" s="427"/>
      <c r="AA421" s="427"/>
      <c r="AB421" s="427"/>
    </row>
    <row r="422" spans="1:28">
      <c r="A422" s="85"/>
      <c r="B422" s="99" t="s">
        <v>1243</v>
      </c>
      <c r="C422" s="99"/>
      <c r="D422" s="99"/>
      <c r="E422" s="85">
        <v>6</v>
      </c>
      <c r="F422" s="85"/>
      <c r="G422" s="85"/>
      <c r="H422" s="427"/>
      <c r="I422" s="427"/>
      <c r="J422" s="427"/>
      <c r="K422" s="427"/>
      <c r="L422" s="427"/>
      <c r="M422" s="427"/>
      <c r="N422" s="427"/>
      <c r="O422" s="427"/>
      <c r="P422" s="427"/>
      <c r="Q422" s="427"/>
      <c r="R422" s="427"/>
      <c r="S422" s="427"/>
      <c r="T422" s="427"/>
      <c r="U422" s="427"/>
      <c r="V422" s="427"/>
      <c r="W422" s="427"/>
      <c r="X422" s="427"/>
      <c r="Y422" s="427"/>
      <c r="Z422" s="427"/>
      <c r="AA422" s="427"/>
      <c r="AB422" s="427"/>
    </row>
    <row r="423" spans="1:28">
      <c r="A423" s="85"/>
      <c r="B423" s="99" t="s">
        <v>1216</v>
      </c>
      <c r="C423" s="99"/>
      <c r="D423" s="99"/>
      <c r="E423" s="85">
        <f>SUM(E419:E422)</f>
        <v>56.5</v>
      </c>
      <c r="F423" s="85">
        <f>SUM(F418:F422)</f>
        <v>66</v>
      </c>
      <c r="G423" s="85">
        <f>SUM(E423:F423)</f>
        <v>122.5</v>
      </c>
      <c r="H423" s="427"/>
      <c r="I423" s="427"/>
      <c r="J423" s="427"/>
      <c r="K423" s="427">
        <f>0.25*G423</f>
        <v>30.625</v>
      </c>
      <c r="L423" s="427"/>
      <c r="M423" s="427">
        <f>0.5*G423</f>
        <v>61.25</v>
      </c>
      <c r="N423" s="427"/>
      <c r="O423" s="427">
        <f>0.25*G423</f>
        <v>30.625</v>
      </c>
      <c r="P423" s="427"/>
      <c r="Q423" s="427"/>
      <c r="R423" s="427"/>
      <c r="S423" s="427"/>
      <c r="T423" s="427"/>
      <c r="U423" s="427"/>
      <c r="V423" s="427"/>
      <c r="W423" s="427"/>
      <c r="X423" s="427"/>
      <c r="Y423" s="427"/>
      <c r="Z423" s="427"/>
      <c r="AA423" s="427"/>
      <c r="AB423" s="427"/>
    </row>
    <row r="424" spans="1:28">
      <c r="A424" s="85"/>
      <c r="B424" s="99"/>
      <c r="C424" s="99"/>
      <c r="D424" s="99"/>
      <c r="E424" s="85"/>
      <c r="F424" s="85"/>
      <c r="G424" s="85"/>
      <c r="H424" s="427"/>
      <c r="I424" s="427"/>
      <c r="J424" s="427"/>
      <c r="K424" s="427"/>
      <c r="L424" s="427"/>
      <c r="M424" s="427"/>
      <c r="N424" s="427"/>
      <c r="O424" s="427"/>
      <c r="P424" s="427"/>
      <c r="Q424" s="427"/>
      <c r="R424" s="427"/>
      <c r="S424" s="427"/>
      <c r="T424" s="427"/>
      <c r="U424" s="427"/>
      <c r="V424" s="427"/>
      <c r="W424" s="427"/>
      <c r="X424" s="427"/>
      <c r="Y424" s="427"/>
      <c r="Z424" s="427"/>
      <c r="AA424" s="427"/>
      <c r="AB424" s="427"/>
    </row>
    <row r="425" spans="1:28">
      <c r="A425" s="85" t="s">
        <v>1217</v>
      </c>
      <c r="B425" s="98" t="s">
        <v>1247</v>
      </c>
      <c r="C425" s="99"/>
      <c r="D425" s="99"/>
      <c r="E425" s="85"/>
      <c r="F425" s="85"/>
      <c r="G425" s="85"/>
      <c r="H425" s="427"/>
      <c r="I425" s="427"/>
      <c r="J425" s="427"/>
      <c r="K425" s="427"/>
      <c r="L425" s="427"/>
      <c r="M425" s="427"/>
      <c r="N425" s="427"/>
      <c r="O425" s="427"/>
      <c r="P425" s="427"/>
      <c r="Q425" s="427"/>
      <c r="R425" s="427"/>
      <c r="S425" s="427"/>
      <c r="T425" s="427"/>
      <c r="U425" s="427"/>
      <c r="V425" s="427"/>
      <c r="W425" s="427"/>
      <c r="X425" s="427"/>
      <c r="Y425" s="427"/>
      <c r="Z425" s="427"/>
      <c r="AA425" s="427"/>
      <c r="AB425" s="427"/>
    </row>
    <row r="426" spans="1:28">
      <c r="A426" s="85"/>
      <c r="B426" s="99" t="s">
        <v>1248</v>
      </c>
      <c r="C426" s="99"/>
      <c r="D426" s="99"/>
      <c r="E426" s="85"/>
      <c r="F426" s="85">
        <v>194</v>
      </c>
      <c r="G426" s="85"/>
      <c r="H426" s="427"/>
      <c r="I426" s="427"/>
      <c r="J426" s="427"/>
      <c r="K426" s="427"/>
      <c r="L426" s="427"/>
      <c r="M426" s="427"/>
      <c r="N426" s="427"/>
      <c r="O426" s="427"/>
      <c r="P426" s="427"/>
      <c r="Q426" s="427"/>
      <c r="R426" s="427"/>
      <c r="S426" s="427"/>
      <c r="T426" s="427"/>
      <c r="U426" s="427"/>
      <c r="V426" s="427"/>
      <c r="W426" s="427"/>
      <c r="X426" s="427"/>
      <c r="Y426" s="427"/>
      <c r="Z426" s="427"/>
      <c r="AA426" s="427"/>
      <c r="AB426" s="427"/>
    </row>
    <row r="427" spans="1:28">
      <c r="A427" s="85"/>
      <c r="B427" s="99" t="s">
        <v>1207</v>
      </c>
      <c r="C427" s="99"/>
      <c r="D427" s="99"/>
      <c r="E427" s="85">
        <v>43</v>
      </c>
      <c r="F427" s="85"/>
      <c r="G427" s="85"/>
      <c r="H427" s="427"/>
      <c r="I427" s="427"/>
      <c r="J427" s="427"/>
      <c r="K427" s="427"/>
      <c r="L427" s="427"/>
      <c r="M427" s="427"/>
      <c r="N427" s="427"/>
      <c r="O427" s="427"/>
      <c r="P427" s="427"/>
      <c r="Q427" s="427"/>
      <c r="R427" s="427"/>
      <c r="S427" s="427"/>
      <c r="T427" s="427"/>
      <c r="U427" s="427"/>
      <c r="V427" s="427"/>
      <c r="W427" s="427"/>
      <c r="X427" s="427"/>
      <c r="Y427" s="427"/>
      <c r="Z427" s="427"/>
      <c r="AA427" s="427"/>
      <c r="AB427" s="427"/>
    </row>
    <row r="428" spans="1:28">
      <c r="A428" s="85"/>
      <c r="B428" s="99" t="s">
        <v>1214</v>
      </c>
      <c r="C428" s="99"/>
      <c r="D428" s="99"/>
      <c r="E428" s="85">
        <v>19</v>
      </c>
      <c r="F428" s="85"/>
      <c r="G428" s="85"/>
      <c r="H428" s="427"/>
      <c r="I428" s="427"/>
      <c r="J428" s="427"/>
      <c r="K428" s="427"/>
      <c r="L428" s="427"/>
      <c r="M428" s="427"/>
      <c r="N428" s="427"/>
      <c r="O428" s="427"/>
      <c r="P428" s="427"/>
      <c r="Q428" s="427"/>
      <c r="R428" s="427"/>
      <c r="S428" s="427"/>
      <c r="T428" s="427"/>
      <c r="U428" s="427"/>
      <c r="V428" s="427"/>
      <c r="W428" s="427"/>
      <c r="X428" s="427"/>
      <c r="Y428" s="427"/>
      <c r="Z428" s="427"/>
      <c r="AA428" s="427"/>
      <c r="AB428" s="427"/>
    </row>
    <row r="429" spans="1:28">
      <c r="A429" s="85"/>
      <c r="B429" s="99" t="s">
        <v>1249</v>
      </c>
      <c r="C429" s="99"/>
      <c r="D429" s="99"/>
      <c r="E429" s="85">
        <v>52</v>
      </c>
      <c r="F429" s="85"/>
      <c r="G429" s="85"/>
      <c r="H429" s="427"/>
      <c r="I429" s="427"/>
      <c r="J429" s="427"/>
      <c r="K429" s="427"/>
      <c r="L429" s="427"/>
      <c r="M429" s="427"/>
      <c r="N429" s="427"/>
      <c r="O429" s="427"/>
      <c r="P429" s="427"/>
      <c r="Q429" s="427"/>
      <c r="R429" s="427"/>
      <c r="S429" s="427"/>
      <c r="T429" s="427"/>
      <c r="U429" s="427"/>
      <c r="V429" s="427"/>
      <c r="W429" s="427"/>
      <c r="X429" s="427"/>
      <c r="Y429" s="427"/>
      <c r="Z429" s="427"/>
      <c r="AA429" s="427"/>
      <c r="AB429" s="427"/>
    </row>
    <row r="430" spans="1:28">
      <c r="A430" s="85"/>
      <c r="B430" s="99" t="s">
        <v>1250</v>
      </c>
      <c r="C430" s="99"/>
      <c r="D430" s="99"/>
      <c r="E430" s="85">
        <v>8</v>
      </c>
      <c r="F430" s="85"/>
      <c r="G430" s="85"/>
      <c r="H430" s="427"/>
      <c r="I430" s="427"/>
      <c r="J430" s="427"/>
      <c r="K430" s="427"/>
      <c r="L430" s="427"/>
      <c r="M430" s="427"/>
      <c r="N430" s="427"/>
      <c r="O430" s="427"/>
      <c r="P430" s="427"/>
      <c r="Q430" s="427"/>
      <c r="R430" s="427"/>
      <c r="S430" s="427"/>
      <c r="T430" s="427"/>
      <c r="U430" s="427"/>
      <c r="V430" s="427"/>
      <c r="W430" s="427"/>
      <c r="X430" s="427"/>
      <c r="Y430" s="427"/>
      <c r="Z430" s="427"/>
      <c r="AA430" s="427"/>
      <c r="AB430" s="427"/>
    </row>
    <row r="431" spans="1:28">
      <c r="A431" s="85"/>
      <c r="B431" s="99" t="s">
        <v>1216</v>
      </c>
      <c r="C431" s="99"/>
      <c r="D431" s="99"/>
      <c r="E431" s="85">
        <f>SUM(E427:E430)</f>
        <v>122</v>
      </c>
      <c r="F431" s="85">
        <f>SUM(F426:F430)</f>
        <v>194</v>
      </c>
      <c r="G431" s="85">
        <f>SUM(E431:F431)</f>
        <v>316</v>
      </c>
      <c r="H431" s="427"/>
      <c r="I431" s="427"/>
      <c r="J431" s="427"/>
      <c r="K431" s="427">
        <f>0.25*G431</f>
        <v>79</v>
      </c>
      <c r="L431" s="427"/>
      <c r="M431" s="427">
        <f>0.5*G431</f>
        <v>158</v>
      </c>
      <c r="N431" s="427"/>
      <c r="O431" s="427">
        <f>0.25*G431</f>
        <v>79</v>
      </c>
      <c r="P431" s="427"/>
      <c r="Q431" s="427"/>
      <c r="R431" s="427"/>
      <c r="S431" s="427"/>
      <c r="T431" s="427"/>
      <c r="U431" s="427"/>
      <c r="V431" s="427"/>
      <c r="W431" s="427"/>
      <c r="X431" s="427"/>
      <c r="Y431" s="427"/>
      <c r="Z431" s="427"/>
      <c r="AA431" s="427"/>
      <c r="AB431" s="427"/>
    </row>
    <row r="432" spans="1:28">
      <c r="A432" s="85"/>
      <c r="B432" s="99"/>
      <c r="C432" s="99"/>
      <c r="D432" s="99"/>
      <c r="E432" s="85"/>
      <c r="F432" s="85"/>
      <c r="G432" s="85"/>
      <c r="H432" s="427"/>
      <c r="I432" s="427"/>
      <c r="J432" s="427"/>
      <c r="K432" s="427"/>
      <c r="L432" s="427"/>
      <c r="M432" s="427"/>
      <c r="N432" s="427"/>
      <c r="O432" s="427"/>
      <c r="P432" s="427"/>
      <c r="Q432" s="427"/>
      <c r="R432" s="427"/>
      <c r="S432" s="427"/>
      <c r="T432" s="427"/>
      <c r="U432" s="427"/>
      <c r="V432" s="427"/>
      <c r="W432" s="427"/>
      <c r="X432" s="427"/>
      <c r="Y432" s="427"/>
      <c r="Z432" s="427"/>
      <c r="AA432" s="427"/>
      <c r="AB432" s="427"/>
    </row>
    <row r="433" spans="1:28">
      <c r="A433" s="85" t="s">
        <v>1221</v>
      </c>
      <c r="B433" s="98" t="s">
        <v>1251</v>
      </c>
      <c r="C433" s="99"/>
      <c r="D433" s="99"/>
      <c r="E433" s="85"/>
      <c r="F433" s="85"/>
      <c r="G433" s="85"/>
      <c r="H433" s="427"/>
      <c r="I433" s="427"/>
      <c r="J433" s="427"/>
      <c r="K433" s="427"/>
      <c r="L433" s="427"/>
      <c r="M433" s="427"/>
      <c r="N433" s="427"/>
      <c r="O433" s="427"/>
      <c r="P433" s="427"/>
      <c r="Q433" s="427"/>
      <c r="R433" s="427"/>
      <c r="S433" s="427"/>
      <c r="T433" s="427"/>
      <c r="U433" s="427"/>
      <c r="V433" s="427"/>
      <c r="W433" s="427"/>
      <c r="X433" s="427"/>
      <c r="Y433" s="427"/>
      <c r="Z433" s="427"/>
      <c r="AA433" s="427"/>
      <c r="AB433" s="427"/>
    </row>
    <row r="434" spans="1:28">
      <c r="A434" s="85"/>
      <c r="B434" s="99" t="s">
        <v>1252</v>
      </c>
      <c r="C434" s="99"/>
      <c r="D434" s="99"/>
      <c r="E434" s="85"/>
      <c r="F434" s="85">
        <v>250</v>
      </c>
      <c r="G434" s="85"/>
      <c r="H434" s="427"/>
      <c r="I434" s="427"/>
      <c r="J434" s="427"/>
      <c r="K434" s="427"/>
      <c r="L434" s="427"/>
      <c r="M434" s="427"/>
      <c r="N434" s="427"/>
      <c r="O434" s="427"/>
      <c r="P434" s="427"/>
      <c r="Q434" s="427"/>
      <c r="R434" s="427"/>
      <c r="S434" s="427"/>
      <c r="T434" s="427"/>
      <c r="U434" s="427"/>
      <c r="V434" s="427"/>
      <c r="W434" s="427"/>
      <c r="X434" s="427"/>
      <c r="Y434" s="427"/>
      <c r="Z434" s="427"/>
      <c r="AA434" s="427"/>
      <c r="AB434" s="427"/>
    </row>
    <row r="435" spans="1:28">
      <c r="A435" s="85"/>
      <c r="B435" s="99" t="s">
        <v>1253</v>
      </c>
      <c r="C435" s="99"/>
      <c r="D435" s="99"/>
      <c r="E435" s="85">
        <v>54</v>
      </c>
      <c r="F435" s="85"/>
      <c r="G435" s="85"/>
      <c r="H435" s="427"/>
      <c r="I435" s="427"/>
      <c r="J435" s="427"/>
      <c r="K435" s="427"/>
      <c r="L435" s="427"/>
      <c r="M435" s="427"/>
      <c r="N435" s="427"/>
      <c r="O435" s="427"/>
      <c r="P435" s="427"/>
      <c r="Q435" s="427"/>
      <c r="R435" s="427"/>
      <c r="S435" s="427"/>
      <c r="T435" s="427"/>
      <c r="U435" s="427"/>
      <c r="V435" s="427"/>
      <c r="W435" s="427"/>
      <c r="X435" s="427"/>
      <c r="Y435" s="427"/>
      <c r="Z435" s="427"/>
      <c r="AA435" s="427"/>
      <c r="AB435" s="427"/>
    </row>
    <row r="436" spans="1:28">
      <c r="A436" s="85"/>
      <c r="B436" s="99" t="s">
        <v>1254</v>
      </c>
      <c r="C436" s="99"/>
      <c r="D436" s="99"/>
      <c r="E436" s="85">
        <v>50</v>
      </c>
      <c r="F436" s="85"/>
      <c r="G436" s="85"/>
      <c r="H436" s="427"/>
      <c r="I436" s="427"/>
      <c r="J436" s="427"/>
      <c r="K436" s="427"/>
      <c r="L436" s="427"/>
      <c r="M436" s="427"/>
      <c r="N436" s="427"/>
      <c r="O436" s="427"/>
      <c r="P436" s="427"/>
      <c r="Q436" s="427"/>
      <c r="R436" s="427"/>
      <c r="S436" s="427"/>
      <c r="T436" s="427"/>
      <c r="U436" s="427"/>
      <c r="V436" s="427"/>
      <c r="W436" s="427"/>
      <c r="X436" s="427"/>
      <c r="Y436" s="427"/>
      <c r="Z436" s="427"/>
      <c r="AA436" s="427"/>
      <c r="AB436" s="427"/>
    </row>
    <row r="437" spans="1:28">
      <c r="A437" s="85"/>
      <c r="B437" s="99" t="s">
        <v>1216</v>
      </c>
      <c r="C437" s="99"/>
      <c r="D437" s="99"/>
      <c r="E437" s="85">
        <f>SUM(E435:E436)</f>
        <v>104</v>
      </c>
      <c r="F437" s="85">
        <f>SUM(F434:F436)</f>
        <v>250</v>
      </c>
      <c r="G437" s="85">
        <f>SUM(E437:F437)</f>
        <v>354</v>
      </c>
      <c r="H437" s="427"/>
      <c r="I437" s="427"/>
      <c r="J437" s="427"/>
      <c r="K437" s="427">
        <f>E435</f>
        <v>54</v>
      </c>
      <c r="L437" s="427"/>
      <c r="M437" s="427">
        <f>0.5*F434</f>
        <v>125</v>
      </c>
      <c r="N437" s="427"/>
      <c r="O437" s="427">
        <f>0.5*F434+E436</f>
        <v>175</v>
      </c>
      <c r="P437" s="427"/>
      <c r="Q437" s="427"/>
      <c r="R437" s="427"/>
      <c r="S437" s="427"/>
      <c r="T437" s="427"/>
      <c r="U437" s="427"/>
      <c r="V437" s="427"/>
      <c r="W437" s="427"/>
      <c r="X437" s="427"/>
      <c r="Y437" s="427"/>
      <c r="Z437" s="427"/>
      <c r="AA437" s="427"/>
      <c r="AB437" s="427"/>
    </row>
    <row r="438" spans="1:28">
      <c r="A438" s="85"/>
      <c r="B438" s="99"/>
      <c r="C438" s="99"/>
      <c r="D438" s="99"/>
      <c r="E438" s="85"/>
      <c r="F438" s="85"/>
      <c r="G438" s="85"/>
      <c r="H438" s="427"/>
      <c r="I438" s="427"/>
      <c r="J438" s="427"/>
      <c r="K438" s="427"/>
      <c r="L438" s="427"/>
      <c r="M438" s="427"/>
      <c r="N438" s="427"/>
      <c r="O438" s="427"/>
      <c r="P438" s="427"/>
      <c r="Q438" s="427"/>
      <c r="R438" s="427"/>
      <c r="S438" s="427"/>
      <c r="T438" s="427"/>
      <c r="U438" s="427"/>
      <c r="V438" s="427"/>
      <c r="W438" s="427"/>
      <c r="X438" s="427"/>
      <c r="Y438" s="427"/>
      <c r="Z438" s="427"/>
      <c r="AA438" s="427"/>
      <c r="AB438" s="427"/>
    </row>
    <row r="439" spans="1:28">
      <c r="A439" s="85" t="s">
        <v>1230</v>
      </c>
      <c r="B439" s="98" t="s">
        <v>1218</v>
      </c>
      <c r="C439" s="99"/>
      <c r="D439" s="99"/>
      <c r="E439" s="85"/>
      <c r="F439" s="85"/>
      <c r="G439" s="85"/>
      <c r="H439" s="427"/>
      <c r="I439" s="427"/>
      <c r="J439" s="427"/>
      <c r="K439" s="427"/>
      <c r="L439" s="427"/>
      <c r="M439" s="427"/>
      <c r="N439" s="427"/>
      <c r="O439" s="427"/>
      <c r="P439" s="427"/>
      <c r="Q439" s="427"/>
      <c r="R439" s="427"/>
      <c r="S439" s="427"/>
      <c r="T439" s="427"/>
      <c r="U439" s="427"/>
      <c r="V439" s="427"/>
      <c r="W439" s="427"/>
      <c r="X439" s="427"/>
      <c r="Y439" s="427"/>
      <c r="Z439" s="427"/>
      <c r="AA439" s="427"/>
      <c r="AB439" s="427"/>
    </row>
    <row r="440" spans="1:28">
      <c r="A440" s="85"/>
      <c r="B440" s="99" t="s">
        <v>1255</v>
      </c>
      <c r="C440" s="99"/>
      <c r="D440" s="99"/>
      <c r="E440" s="85"/>
      <c r="F440" s="85">
        <v>78</v>
      </c>
      <c r="G440" s="85"/>
      <c r="H440" s="427"/>
      <c r="I440" s="427"/>
      <c r="J440" s="427"/>
      <c r="K440" s="427"/>
      <c r="L440" s="427"/>
      <c r="M440" s="427"/>
      <c r="N440" s="427"/>
      <c r="O440" s="427"/>
      <c r="P440" s="427"/>
      <c r="Q440" s="427"/>
      <c r="R440" s="427"/>
      <c r="S440" s="427"/>
      <c r="T440" s="427"/>
      <c r="U440" s="427"/>
      <c r="V440" s="427"/>
      <c r="W440" s="427"/>
      <c r="X440" s="427"/>
      <c r="Y440" s="427"/>
      <c r="Z440" s="427"/>
      <c r="AA440" s="427"/>
      <c r="AB440" s="427"/>
    </row>
    <row r="441" spans="1:28">
      <c r="A441" s="85"/>
      <c r="B441" s="99" t="s">
        <v>1256</v>
      </c>
      <c r="C441" s="99"/>
      <c r="D441" s="99"/>
      <c r="E441" s="85">
        <v>33</v>
      </c>
      <c r="F441" s="85"/>
      <c r="G441" s="85"/>
      <c r="H441" s="427"/>
      <c r="I441" s="427"/>
      <c r="J441" s="427"/>
      <c r="K441" s="427"/>
      <c r="L441" s="427"/>
      <c r="M441" s="427"/>
      <c r="N441" s="427"/>
      <c r="O441" s="427"/>
      <c r="P441" s="427"/>
      <c r="Q441" s="427"/>
      <c r="R441" s="427"/>
      <c r="S441" s="427"/>
      <c r="T441" s="427"/>
      <c r="U441" s="427"/>
      <c r="V441" s="427"/>
      <c r="W441" s="427"/>
      <c r="X441" s="427"/>
      <c r="Y441" s="427"/>
      <c r="Z441" s="427"/>
      <c r="AA441" s="427"/>
      <c r="AB441" s="427"/>
    </row>
    <row r="442" spans="1:28">
      <c r="A442" s="85"/>
      <c r="B442" s="99" t="s">
        <v>1216</v>
      </c>
      <c r="C442" s="99"/>
      <c r="D442" s="99"/>
      <c r="E442" s="85">
        <f>SUM(E441)</f>
        <v>33</v>
      </c>
      <c r="F442" s="85">
        <f>SUM(F440:F441)</f>
        <v>78</v>
      </c>
      <c r="G442" s="85">
        <f>SUM(E442:F442)</f>
        <v>111</v>
      </c>
      <c r="H442" s="427"/>
      <c r="I442" s="427"/>
      <c r="J442" s="427"/>
      <c r="K442" s="427">
        <f>E441</f>
        <v>33</v>
      </c>
      <c r="L442" s="427"/>
      <c r="M442" s="427"/>
      <c r="N442" s="427"/>
      <c r="O442" s="427">
        <f>F440</f>
        <v>78</v>
      </c>
      <c r="P442" s="427"/>
      <c r="Q442" s="427"/>
      <c r="R442" s="427"/>
      <c r="S442" s="427"/>
      <c r="T442" s="427"/>
      <c r="U442" s="427"/>
      <c r="V442" s="427"/>
      <c r="W442" s="427"/>
      <c r="X442" s="427"/>
      <c r="Y442" s="427"/>
      <c r="Z442" s="427"/>
      <c r="AA442" s="427"/>
      <c r="AB442" s="427"/>
    </row>
    <row r="443" spans="1:28">
      <c r="A443" s="85"/>
      <c r="B443" s="99"/>
      <c r="C443" s="99"/>
      <c r="D443" s="99"/>
      <c r="E443" s="85"/>
      <c r="F443" s="85"/>
      <c r="G443" s="85"/>
      <c r="H443" s="427"/>
      <c r="I443" s="427"/>
      <c r="J443" s="427"/>
      <c r="K443" s="427"/>
      <c r="L443" s="427"/>
      <c r="M443" s="427"/>
      <c r="N443" s="427"/>
      <c r="O443" s="427"/>
      <c r="P443" s="427"/>
      <c r="Q443" s="427"/>
      <c r="R443" s="427"/>
      <c r="S443" s="427"/>
      <c r="T443" s="427"/>
      <c r="U443" s="427"/>
      <c r="V443" s="427"/>
      <c r="W443" s="427"/>
      <c r="X443" s="427"/>
      <c r="Y443" s="427"/>
      <c r="Z443" s="427"/>
      <c r="AA443" s="427"/>
      <c r="AB443" s="427"/>
    </row>
    <row r="444" spans="1:28">
      <c r="A444" s="85" t="s">
        <v>1233</v>
      </c>
      <c r="B444" s="98" t="s">
        <v>1257</v>
      </c>
      <c r="C444" s="99"/>
      <c r="D444" s="99"/>
      <c r="E444" s="85"/>
      <c r="F444" s="85"/>
      <c r="G444" s="85"/>
      <c r="H444" s="427"/>
      <c r="I444" s="427"/>
      <c r="J444" s="427"/>
      <c r="K444" s="427"/>
      <c r="L444" s="427"/>
      <c r="M444" s="427"/>
      <c r="N444" s="427"/>
      <c r="O444" s="427"/>
      <c r="P444" s="427"/>
      <c r="Q444" s="427"/>
      <c r="R444" s="427"/>
      <c r="S444" s="427"/>
      <c r="T444" s="427"/>
      <c r="U444" s="427"/>
      <c r="V444" s="427"/>
      <c r="W444" s="427"/>
      <c r="X444" s="427"/>
      <c r="Y444" s="427"/>
      <c r="Z444" s="427"/>
      <c r="AA444" s="427"/>
      <c r="AB444" s="427"/>
    </row>
    <row r="445" spans="1:28">
      <c r="A445" s="85"/>
      <c r="B445" s="99" t="s">
        <v>1258</v>
      </c>
      <c r="C445" s="99"/>
      <c r="D445" s="99"/>
      <c r="E445" s="85"/>
      <c r="F445" s="85">
        <v>351</v>
      </c>
      <c r="G445" s="85"/>
      <c r="H445" s="427"/>
      <c r="I445" s="427"/>
      <c r="J445" s="427"/>
      <c r="K445" s="427"/>
      <c r="L445" s="427"/>
      <c r="M445" s="427"/>
      <c r="N445" s="427"/>
      <c r="O445" s="427"/>
      <c r="P445" s="427"/>
      <c r="Q445" s="427"/>
      <c r="R445" s="427"/>
      <c r="S445" s="427"/>
      <c r="T445" s="427"/>
      <c r="U445" s="427"/>
      <c r="V445" s="427"/>
      <c r="W445" s="427"/>
      <c r="X445" s="427"/>
      <c r="Y445" s="427"/>
      <c r="Z445" s="427"/>
      <c r="AA445" s="427"/>
      <c r="AB445" s="427"/>
    </row>
    <row r="446" spans="1:28">
      <c r="A446" s="85"/>
      <c r="B446" s="99" t="s">
        <v>1242</v>
      </c>
      <c r="C446" s="99"/>
      <c r="D446" s="99"/>
      <c r="E446" s="85">
        <v>45</v>
      </c>
      <c r="F446" s="85"/>
      <c r="G446" s="85"/>
      <c r="H446" s="427"/>
      <c r="I446" s="427"/>
      <c r="J446" s="427"/>
      <c r="K446" s="427"/>
      <c r="L446" s="427"/>
      <c r="M446" s="427"/>
      <c r="N446" s="427"/>
      <c r="O446" s="427"/>
      <c r="P446" s="427"/>
      <c r="Q446" s="427"/>
      <c r="R446" s="427"/>
      <c r="S446" s="427"/>
      <c r="T446" s="427"/>
      <c r="U446" s="427"/>
      <c r="V446" s="427"/>
      <c r="W446" s="427"/>
      <c r="X446" s="427"/>
      <c r="Y446" s="427"/>
      <c r="Z446" s="427"/>
      <c r="AA446" s="427"/>
      <c r="AB446" s="427"/>
    </row>
    <row r="447" spans="1:28">
      <c r="A447" s="85"/>
      <c r="B447" s="99" t="s">
        <v>1259</v>
      </c>
      <c r="C447" s="99"/>
      <c r="D447" s="99"/>
      <c r="E447" s="85">
        <v>10</v>
      </c>
      <c r="F447" s="85"/>
      <c r="G447" s="85"/>
      <c r="H447" s="427"/>
      <c r="I447" s="427"/>
      <c r="J447" s="427"/>
      <c r="K447" s="427"/>
      <c r="L447" s="427"/>
      <c r="M447" s="427"/>
      <c r="N447" s="427"/>
      <c r="O447" s="427"/>
      <c r="P447" s="427"/>
      <c r="Q447" s="427"/>
      <c r="R447" s="427"/>
      <c r="S447" s="427"/>
      <c r="T447" s="427"/>
      <c r="U447" s="427"/>
      <c r="V447" s="427"/>
      <c r="W447" s="427"/>
      <c r="X447" s="427"/>
      <c r="Y447" s="427"/>
      <c r="Z447" s="427"/>
      <c r="AA447" s="427"/>
      <c r="AB447" s="427"/>
    </row>
    <row r="448" spans="1:28">
      <c r="A448" s="85"/>
      <c r="B448" s="99" t="s">
        <v>1260</v>
      </c>
      <c r="C448" s="99"/>
      <c r="D448" s="99"/>
      <c r="E448" s="85">
        <v>12</v>
      </c>
      <c r="F448" s="85"/>
      <c r="G448" s="85"/>
      <c r="H448" s="427"/>
      <c r="I448" s="427"/>
      <c r="J448" s="427"/>
      <c r="K448" s="427"/>
      <c r="L448" s="427"/>
      <c r="M448" s="427"/>
      <c r="N448" s="427"/>
      <c r="O448" s="427"/>
      <c r="P448" s="427"/>
      <c r="Q448" s="427"/>
      <c r="R448" s="427"/>
      <c r="S448" s="427"/>
      <c r="T448" s="427"/>
      <c r="U448" s="427"/>
      <c r="V448" s="427"/>
      <c r="W448" s="427"/>
      <c r="X448" s="427"/>
      <c r="Y448" s="427"/>
      <c r="Z448" s="427"/>
      <c r="AA448" s="427"/>
      <c r="AB448" s="427"/>
    </row>
    <row r="449" spans="1:37">
      <c r="A449" s="85"/>
      <c r="B449" s="99"/>
      <c r="C449" s="99"/>
      <c r="D449" s="99"/>
      <c r="E449" s="85">
        <f>SUM(E446:E448)</f>
        <v>67</v>
      </c>
      <c r="F449" s="85">
        <f>SUM(F445:F448)</f>
        <v>351</v>
      </c>
      <c r="G449" s="85">
        <f>SUM(E449:F449)</f>
        <v>418</v>
      </c>
      <c r="H449" s="427"/>
      <c r="I449" s="427"/>
      <c r="J449" s="427"/>
      <c r="K449" s="427">
        <f>0.5*E446</f>
        <v>22.5</v>
      </c>
      <c r="L449" s="427"/>
      <c r="M449" s="427">
        <f>0.5*E446+0.5*(G449-E446)</f>
        <v>209</v>
      </c>
      <c r="N449" s="427"/>
      <c r="O449" s="427">
        <f>0.5*(G449-E446)</f>
        <v>186.5</v>
      </c>
      <c r="P449" s="427"/>
      <c r="Q449" s="427"/>
      <c r="R449" s="427"/>
      <c r="S449" s="427"/>
      <c r="T449" s="427"/>
      <c r="U449" s="427"/>
      <c r="V449" s="427"/>
      <c r="W449" s="427"/>
      <c r="X449" s="427"/>
      <c r="Y449" s="427"/>
      <c r="Z449" s="427"/>
      <c r="AA449" s="427"/>
      <c r="AB449" s="427"/>
    </row>
    <row r="450" spans="1:37">
      <c r="A450" s="85"/>
      <c r="B450" s="99"/>
      <c r="C450" s="99"/>
      <c r="D450" s="99"/>
      <c r="E450" s="85"/>
      <c r="F450" s="85"/>
      <c r="G450" s="85"/>
      <c r="H450" s="427"/>
      <c r="I450" s="427"/>
      <c r="J450" s="427"/>
      <c r="K450" s="427"/>
      <c r="L450" s="427"/>
      <c r="M450" s="427"/>
      <c r="N450" s="427"/>
      <c r="O450" s="427"/>
      <c r="P450" s="427"/>
      <c r="Q450" s="427"/>
      <c r="R450" s="427"/>
      <c r="S450" s="427"/>
      <c r="T450" s="427"/>
      <c r="U450" s="427"/>
      <c r="V450" s="427"/>
      <c r="W450" s="427"/>
      <c r="X450" s="427"/>
      <c r="Y450" s="427"/>
      <c r="Z450" s="427"/>
      <c r="AA450" s="427"/>
      <c r="AB450" s="427"/>
    </row>
    <row r="451" spans="1:37">
      <c r="A451" s="85" t="s">
        <v>1261</v>
      </c>
      <c r="B451" s="98" t="s">
        <v>1262</v>
      </c>
      <c r="C451" s="98"/>
      <c r="D451" s="98"/>
      <c r="E451" s="85"/>
      <c r="F451" s="85"/>
      <c r="G451" s="85"/>
      <c r="H451" s="427"/>
      <c r="I451" s="427"/>
      <c r="J451" s="427"/>
      <c r="K451" s="427"/>
      <c r="L451" s="427"/>
      <c r="M451" s="427"/>
      <c r="N451" s="427"/>
      <c r="O451" s="427"/>
      <c r="P451" s="427"/>
      <c r="Q451" s="427"/>
      <c r="R451" s="427"/>
      <c r="S451" s="427"/>
      <c r="T451" s="427"/>
      <c r="U451" s="427"/>
      <c r="V451" s="427"/>
      <c r="W451" s="427"/>
      <c r="X451" s="427"/>
      <c r="Y451" s="427"/>
      <c r="Z451" s="427"/>
      <c r="AA451" s="427"/>
      <c r="AB451" s="427"/>
    </row>
    <row r="452" spans="1:37">
      <c r="A452" s="85"/>
      <c r="B452" s="99" t="s">
        <v>1263</v>
      </c>
      <c r="C452" s="99"/>
      <c r="D452" s="99"/>
      <c r="E452" s="85"/>
      <c r="F452" s="85">
        <v>716</v>
      </c>
      <c r="G452" s="85"/>
      <c r="H452" s="427"/>
      <c r="I452" s="427"/>
      <c r="J452" s="427"/>
      <c r="K452" s="427"/>
      <c r="L452" s="427"/>
      <c r="M452" s="427"/>
      <c r="N452" s="427"/>
      <c r="O452" s="427"/>
      <c r="P452" s="427"/>
      <c r="Q452" s="427"/>
      <c r="R452" s="427"/>
      <c r="S452" s="427"/>
      <c r="T452" s="427"/>
      <c r="U452" s="427"/>
      <c r="V452" s="427"/>
      <c r="W452" s="427"/>
      <c r="X452" s="427"/>
      <c r="Y452" s="427"/>
      <c r="Z452" s="427"/>
      <c r="AA452" s="427"/>
      <c r="AB452" s="427"/>
    </row>
    <row r="453" spans="1:37">
      <c r="A453" s="85"/>
      <c r="B453" s="99" t="s">
        <v>1264</v>
      </c>
      <c r="C453" s="99"/>
      <c r="D453" s="99"/>
      <c r="E453" s="85">
        <v>51</v>
      </c>
      <c r="F453" s="85"/>
      <c r="G453" s="85"/>
      <c r="H453" s="427"/>
      <c r="I453" s="427"/>
      <c r="J453" s="427"/>
      <c r="K453" s="427"/>
      <c r="L453" s="427"/>
      <c r="M453" s="427"/>
      <c r="N453" s="427"/>
      <c r="O453" s="427"/>
      <c r="P453" s="427"/>
      <c r="Q453" s="427"/>
      <c r="R453" s="427"/>
      <c r="S453" s="427"/>
      <c r="T453" s="427"/>
      <c r="U453" s="427"/>
      <c r="V453" s="427"/>
      <c r="W453" s="427"/>
      <c r="X453" s="427"/>
      <c r="Y453" s="427"/>
      <c r="Z453" s="427"/>
      <c r="AA453" s="427"/>
      <c r="AB453" s="427"/>
    </row>
    <row r="454" spans="1:37">
      <c r="A454" s="85"/>
      <c r="B454" s="99" t="s">
        <v>1265</v>
      </c>
      <c r="C454" s="99"/>
      <c r="D454" s="99"/>
      <c r="E454" s="85">
        <v>10</v>
      </c>
      <c r="F454" s="85"/>
      <c r="G454" s="85"/>
      <c r="H454" s="427"/>
      <c r="I454" s="427"/>
      <c r="J454" s="427"/>
      <c r="K454" s="427"/>
      <c r="L454" s="427"/>
      <c r="M454" s="427"/>
      <c r="N454" s="427"/>
      <c r="O454" s="427"/>
      <c r="P454" s="427"/>
      <c r="Q454" s="427"/>
      <c r="R454" s="427"/>
      <c r="S454" s="427"/>
      <c r="T454" s="427"/>
      <c r="U454" s="427"/>
      <c r="V454" s="427"/>
      <c r="W454" s="427"/>
      <c r="X454" s="427"/>
      <c r="Y454" s="427"/>
      <c r="Z454" s="427"/>
      <c r="AA454" s="427"/>
      <c r="AB454" s="427"/>
    </row>
    <row r="455" spans="1:37">
      <c r="A455" s="85"/>
      <c r="B455" s="99" t="s">
        <v>1260</v>
      </c>
      <c r="C455" s="99"/>
      <c r="D455" s="99"/>
      <c r="E455" s="85">
        <v>12</v>
      </c>
      <c r="F455" s="85"/>
      <c r="G455" s="85"/>
      <c r="H455" s="427"/>
      <c r="I455" s="427"/>
      <c r="J455" s="427"/>
      <c r="K455" s="427"/>
      <c r="L455" s="427"/>
      <c r="M455" s="427"/>
      <c r="N455" s="427"/>
      <c r="O455" s="427"/>
      <c r="P455" s="427"/>
      <c r="Q455" s="427"/>
      <c r="R455" s="427"/>
      <c r="S455" s="427"/>
      <c r="T455" s="427"/>
      <c r="U455" s="427"/>
      <c r="V455" s="427"/>
      <c r="W455" s="427"/>
      <c r="X455" s="427"/>
      <c r="Y455" s="427"/>
      <c r="Z455" s="427"/>
      <c r="AA455" s="427"/>
      <c r="AB455" s="427"/>
    </row>
    <row r="456" spans="1:37">
      <c r="A456" s="85"/>
      <c r="B456" s="99" t="s">
        <v>1216</v>
      </c>
      <c r="C456" s="99"/>
      <c r="D456" s="99"/>
      <c r="E456" s="85">
        <f>SUM(E453:E455)</f>
        <v>73</v>
      </c>
      <c r="F456" s="85">
        <f>SUM(F452:F455)</f>
        <v>716</v>
      </c>
      <c r="G456" s="85">
        <f>SUM(E456:F456)</f>
        <v>789</v>
      </c>
      <c r="H456" s="427"/>
      <c r="I456" s="427"/>
      <c r="J456" s="427"/>
      <c r="K456" s="427">
        <f>0.5*E453</f>
        <v>25.5</v>
      </c>
      <c r="L456" s="427"/>
      <c r="M456" s="427">
        <f>0.5*E453+0.5*(G456-E453)</f>
        <v>394.5</v>
      </c>
      <c r="N456" s="427"/>
      <c r="O456" s="427">
        <f>0.5*(G456-E453)</f>
        <v>369</v>
      </c>
      <c r="P456" s="427"/>
      <c r="Q456" s="427"/>
      <c r="R456" s="427"/>
      <c r="S456" s="427"/>
      <c r="T456" s="427"/>
      <c r="U456" s="427"/>
      <c r="V456" s="427"/>
      <c r="W456" s="427"/>
      <c r="X456" s="427"/>
      <c r="Y456" s="427"/>
      <c r="Z456" s="427"/>
      <c r="AA456" s="427"/>
      <c r="AB456" s="427"/>
    </row>
    <row r="457" spans="1:37">
      <c r="A457" s="85"/>
      <c r="B457" s="99"/>
      <c r="C457" s="99"/>
      <c r="D457" s="99"/>
      <c r="E457" s="85"/>
      <c r="F457" s="85"/>
      <c r="G457" s="85"/>
      <c r="H457" s="427"/>
      <c r="I457" s="427"/>
      <c r="J457" s="427"/>
      <c r="K457" s="427"/>
      <c r="L457" s="427"/>
      <c r="M457" s="427"/>
      <c r="N457" s="427"/>
      <c r="O457" s="427"/>
      <c r="P457" s="427"/>
      <c r="Q457" s="427"/>
      <c r="R457" s="427"/>
      <c r="S457" s="427"/>
      <c r="T457" s="427"/>
      <c r="U457" s="427"/>
      <c r="V457" s="427"/>
      <c r="W457" s="427"/>
      <c r="X457" s="427"/>
      <c r="Y457" s="427"/>
      <c r="Z457" s="427"/>
      <c r="AA457" s="427"/>
      <c r="AB457" s="427"/>
    </row>
    <row r="458" spans="1:37">
      <c r="A458" s="85" t="s">
        <v>1266</v>
      </c>
      <c r="B458" s="98" t="s">
        <v>1267</v>
      </c>
      <c r="C458" s="98"/>
      <c r="D458" s="98"/>
      <c r="E458" s="85"/>
      <c r="F458" s="85"/>
      <c r="G458" s="85"/>
      <c r="H458" s="427"/>
      <c r="I458" s="427"/>
      <c r="J458" s="427"/>
      <c r="K458" s="427"/>
      <c r="L458" s="427"/>
      <c r="M458" s="427"/>
      <c r="N458" s="427"/>
      <c r="O458" s="427"/>
      <c r="P458" s="427"/>
      <c r="Q458" s="427"/>
      <c r="R458" s="427"/>
      <c r="S458" s="427"/>
      <c r="T458" s="427"/>
      <c r="U458" s="427"/>
      <c r="V458" s="427"/>
      <c r="W458" s="427"/>
      <c r="X458" s="427"/>
      <c r="Y458" s="427"/>
      <c r="Z458" s="427"/>
      <c r="AA458" s="427"/>
      <c r="AB458" s="427"/>
    </row>
    <row r="459" spans="1:37">
      <c r="A459" s="85"/>
      <c r="B459" s="99" t="s">
        <v>1268</v>
      </c>
      <c r="C459" s="99"/>
      <c r="D459" s="99"/>
      <c r="E459" s="85"/>
      <c r="F459" s="85">
        <v>24</v>
      </c>
      <c r="G459" s="85"/>
      <c r="H459" s="427"/>
      <c r="I459" s="427"/>
      <c r="J459" s="427"/>
      <c r="K459" s="427"/>
      <c r="L459" s="427"/>
      <c r="M459" s="427"/>
      <c r="N459" s="427"/>
      <c r="O459" s="427"/>
      <c r="P459" s="427"/>
      <c r="Q459" s="427"/>
      <c r="R459" s="427"/>
      <c r="S459" s="427"/>
      <c r="T459" s="427"/>
      <c r="U459" s="427"/>
      <c r="V459" s="427"/>
      <c r="W459" s="427"/>
      <c r="X459" s="427"/>
      <c r="Y459" s="427"/>
      <c r="Z459" s="427"/>
      <c r="AA459" s="427"/>
      <c r="AB459" s="427"/>
    </row>
    <row r="460" spans="1:37">
      <c r="A460" s="85"/>
      <c r="B460" s="99" t="s">
        <v>1269</v>
      </c>
      <c r="C460" s="99"/>
      <c r="D460" s="99"/>
      <c r="E460" s="85">
        <v>8</v>
      </c>
      <c r="F460" s="85"/>
      <c r="G460" s="85"/>
      <c r="H460" s="427"/>
      <c r="I460" s="427"/>
      <c r="J460" s="427"/>
      <c r="K460" s="427"/>
      <c r="L460" s="427"/>
      <c r="M460" s="427"/>
      <c r="N460" s="427"/>
      <c r="O460" s="427"/>
      <c r="P460" s="427"/>
      <c r="Q460" s="427"/>
      <c r="R460" s="427"/>
      <c r="S460" s="427"/>
      <c r="T460" s="427"/>
      <c r="U460" s="427"/>
      <c r="V460" s="427"/>
      <c r="W460" s="427"/>
      <c r="X460" s="427"/>
      <c r="Y460" s="427"/>
      <c r="Z460" s="427"/>
      <c r="AA460" s="427"/>
      <c r="AB460" s="427"/>
    </row>
    <row r="461" spans="1:37">
      <c r="A461" s="85"/>
      <c r="B461" s="99" t="s">
        <v>1270</v>
      </c>
      <c r="C461" s="99"/>
      <c r="D461" s="99"/>
      <c r="E461" s="85">
        <v>2</v>
      </c>
      <c r="F461" s="85"/>
      <c r="G461" s="85"/>
      <c r="H461" s="427"/>
      <c r="I461" s="427"/>
      <c r="J461" s="427"/>
      <c r="K461" s="427"/>
      <c r="L461" s="427"/>
      <c r="M461" s="427"/>
      <c r="N461" s="427"/>
      <c r="O461" s="427"/>
      <c r="P461" s="427"/>
      <c r="Q461" s="427"/>
      <c r="R461" s="427"/>
      <c r="S461" s="427"/>
      <c r="T461" s="427"/>
      <c r="U461" s="427"/>
      <c r="V461" s="427"/>
      <c r="W461" s="427"/>
      <c r="X461" s="427"/>
      <c r="Y461" s="427"/>
      <c r="Z461" s="427"/>
      <c r="AA461" s="427"/>
      <c r="AB461" s="427"/>
    </row>
    <row r="462" spans="1:37">
      <c r="A462" s="85"/>
      <c r="B462" s="99"/>
      <c r="C462" s="99"/>
      <c r="D462" s="99"/>
      <c r="E462" s="85">
        <f>SUM(E460:E461)</f>
        <v>10</v>
      </c>
      <c r="F462" s="85">
        <f>SUM(F459:F461)</f>
        <v>24</v>
      </c>
      <c r="G462" s="85">
        <f>SUM(E462:F462)</f>
        <v>34</v>
      </c>
      <c r="H462" s="427"/>
      <c r="I462" s="427"/>
      <c r="J462" s="427"/>
      <c r="K462" s="427">
        <f>E460</f>
        <v>8</v>
      </c>
      <c r="L462" s="427"/>
      <c r="M462" s="427"/>
      <c r="N462" s="427"/>
      <c r="O462" s="427">
        <f>G462+E461</f>
        <v>36</v>
      </c>
      <c r="P462" s="427"/>
      <c r="Q462" s="427"/>
      <c r="R462" s="427"/>
      <c r="S462" s="427"/>
      <c r="T462" s="427"/>
      <c r="U462" s="427"/>
      <c r="V462" s="427"/>
      <c r="W462" s="427"/>
      <c r="X462" s="427"/>
      <c r="Y462" s="427"/>
      <c r="Z462" s="427"/>
      <c r="AA462" s="427"/>
      <c r="AB462" s="427"/>
    </row>
    <row r="464" spans="1:37" ht="21">
      <c r="B464" s="100" t="s">
        <v>595</v>
      </c>
      <c r="AK464" s="101"/>
    </row>
    <row r="465" spans="2:47" ht="15.75">
      <c r="B465" t="s">
        <v>1297</v>
      </c>
      <c r="C465" s="16"/>
      <c r="D465" s="16"/>
      <c r="E465" s="16" t="s">
        <v>944</v>
      </c>
      <c r="F465" s="16"/>
      <c r="G465" s="16" t="s">
        <v>945</v>
      </c>
      <c r="H465" s="390"/>
      <c r="I465" s="390" t="s">
        <v>946</v>
      </c>
      <c r="J465" s="390"/>
      <c r="K465" s="390"/>
      <c r="L465" s="390" t="s">
        <v>947</v>
      </c>
      <c r="M465" s="390"/>
      <c r="N465" s="390"/>
      <c r="O465" s="390" t="s">
        <v>948</v>
      </c>
      <c r="P465" s="390"/>
      <c r="Q465" s="390"/>
      <c r="R465" s="390"/>
      <c r="S465" s="390" t="s">
        <v>949</v>
      </c>
      <c r="T465" s="390"/>
      <c r="U465" s="390"/>
      <c r="V465" s="390"/>
      <c r="W465" s="390" t="s">
        <v>950</v>
      </c>
      <c r="X465" s="390"/>
      <c r="Y465" s="390"/>
      <c r="Z465" s="390"/>
      <c r="AA465" s="390" t="s">
        <v>951</v>
      </c>
      <c r="AB465" s="390"/>
      <c r="AC465" s="390"/>
      <c r="AD465" s="390" t="s">
        <v>952</v>
      </c>
      <c r="AE465" s="402"/>
      <c r="AF465" s="390" t="s">
        <v>953</v>
      </c>
      <c r="AG465" s="16"/>
      <c r="AH465" s="16" t="s">
        <v>954</v>
      </c>
      <c r="AI465" s="16"/>
      <c r="AJ465" s="16" t="s">
        <v>955</v>
      </c>
      <c r="AK465" s="16"/>
      <c r="AU465" s="101"/>
    </row>
    <row r="466" spans="2:47" ht="15.75">
      <c r="B466" t="s">
        <v>1298</v>
      </c>
      <c r="C466" s="16" t="s">
        <v>1299</v>
      </c>
      <c r="D466" s="16"/>
      <c r="E466" s="16" t="s">
        <v>1300</v>
      </c>
      <c r="F466" s="16" t="s">
        <v>1301</v>
      </c>
      <c r="G466" s="16" t="s">
        <v>1302</v>
      </c>
      <c r="H466" s="390" t="s">
        <v>1303</v>
      </c>
      <c r="I466" s="390" t="s">
        <v>1304</v>
      </c>
      <c r="J466" s="390"/>
      <c r="K466" s="390" t="s">
        <v>1305</v>
      </c>
      <c r="L466" s="390" t="s">
        <v>1306</v>
      </c>
      <c r="M466" s="390" t="s">
        <v>1307</v>
      </c>
      <c r="N466" s="390"/>
      <c r="O466" s="390" t="s">
        <v>1308</v>
      </c>
      <c r="P466" s="390"/>
      <c r="Q466" s="390" t="s">
        <v>1309</v>
      </c>
      <c r="R466" s="390"/>
      <c r="S466" s="390" t="s">
        <v>1310</v>
      </c>
      <c r="T466" s="390"/>
      <c r="U466" s="390" t="s">
        <v>1311</v>
      </c>
      <c r="V466" s="390"/>
      <c r="W466" s="390" t="s">
        <v>1312</v>
      </c>
      <c r="X466" s="390"/>
      <c r="Y466" s="390" t="s">
        <v>1313</v>
      </c>
      <c r="Z466" s="390"/>
      <c r="AA466" s="390" t="s">
        <v>1314</v>
      </c>
      <c r="AB466" s="390"/>
      <c r="AC466" s="390" t="s">
        <v>1315</v>
      </c>
      <c r="AD466" s="390" t="s">
        <v>1316</v>
      </c>
      <c r="AE466" s="402" t="s">
        <v>1317</v>
      </c>
      <c r="AF466" s="390" t="s">
        <v>1318</v>
      </c>
      <c r="AG466" s="16" t="s">
        <v>1319</v>
      </c>
      <c r="AH466" s="16" t="s">
        <v>1320</v>
      </c>
      <c r="AI466" s="16" t="s">
        <v>1321</v>
      </c>
      <c r="AJ466" s="16" t="s">
        <v>1322</v>
      </c>
      <c r="AK466" s="16"/>
      <c r="AU466" s="101"/>
    </row>
    <row r="467" spans="2:47" ht="15.75">
      <c r="B467" t="s">
        <v>27</v>
      </c>
      <c r="C467" t="s">
        <v>6</v>
      </c>
      <c r="E467" t="s">
        <v>6</v>
      </c>
      <c r="F467" t="s">
        <v>7</v>
      </c>
      <c r="G467" t="s">
        <v>7</v>
      </c>
      <c r="H467" s="115" t="s">
        <v>7</v>
      </c>
      <c r="I467" s="115" t="s">
        <v>7</v>
      </c>
      <c r="K467" s="115" t="s">
        <v>8</v>
      </c>
      <c r="L467" s="115" t="s">
        <v>8</v>
      </c>
      <c r="M467" s="115" t="s">
        <v>8</v>
      </c>
      <c r="O467" s="115" t="s">
        <v>8</v>
      </c>
      <c r="Q467" s="115" t="s">
        <v>9</v>
      </c>
      <c r="S467" s="115" t="s">
        <v>9</v>
      </c>
      <c r="U467" s="115" t="s">
        <v>9</v>
      </c>
      <c r="W467" s="115" t="s">
        <v>9</v>
      </c>
      <c r="Y467" s="115" t="s">
        <v>9</v>
      </c>
      <c r="AA467" s="115" t="s">
        <v>9</v>
      </c>
      <c r="AC467" s="115" t="s">
        <v>9</v>
      </c>
      <c r="AD467" s="115" t="s">
        <v>9</v>
      </c>
      <c r="AE467" s="403" t="s">
        <v>956</v>
      </c>
      <c r="AF467" s="115" t="s">
        <v>956</v>
      </c>
      <c r="AG467" t="s">
        <v>751</v>
      </c>
      <c r="AH467" t="s">
        <v>751</v>
      </c>
      <c r="AI467" t="s">
        <v>751</v>
      </c>
      <c r="AJ467" t="s">
        <v>751</v>
      </c>
      <c r="AU467" s="101"/>
    </row>
    <row r="468" spans="2:47" s="102" customFormat="1" ht="60.95" hidden="1" customHeight="1" outlineLevel="1">
      <c r="B468" s="102" t="s">
        <v>1323</v>
      </c>
      <c r="C468" s="102" t="s">
        <v>1324</v>
      </c>
      <c r="H468" s="428" t="s">
        <v>1325</v>
      </c>
      <c r="I468" s="428" t="s">
        <v>1326</v>
      </c>
      <c r="J468" s="428"/>
      <c r="K468" s="428"/>
      <c r="L468" s="428"/>
      <c r="M468" s="428" t="s">
        <v>1188</v>
      </c>
      <c r="N468" s="428"/>
      <c r="O468" s="428" t="s">
        <v>1189</v>
      </c>
      <c r="P468" s="428"/>
      <c r="Q468" s="428"/>
      <c r="R468" s="428"/>
      <c r="S468" s="428"/>
      <c r="T468" s="428"/>
      <c r="U468" s="428" t="s">
        <v>1327</v>
      </c>
      <c r="V468" s="428"/>
      <c r="W468" s="428" t="s">
        <v>1328</v>
      </c>
      <c r="X468" s="428"/>
      <c r="Y468" s="428"/>
      <c r="Z468" s="428"/>
      <c r="AA468" s="428"/>
      <c r="AB468" s="428"/>
      <c r="AC468" s="428" t="s">
        <v>1329</v>
      </c>
      <c r="AD468" s="428" t="s">
        <v>1330</v>
      </c>
      <c r="AE468" s="411"/>
      <c r="AF468" s="428"/>
      <c r="AI468" s="102" t="s">
        <v>1331</v>
      </c>
      <c r="AJ468" s="102" t="s">
        <v>1332</v>
      </c>
      <c r="AU468" s="103"/>
    </row>
    <row r="469" spans="2:47" ht="15.75" hidden="1" outlineLevel="1">
      <c r="B469" t="s">
        <v>791</v>
      </c>
      <c r="C469" s="104"/>
      <c r="D469" s="104"/>
      <c r="E469" s="104">
        <v>2282</v>
      </c>
      <c r="F469" s="104"/>
      <c r="G469" s="104">
        <v>10591</v>
      </c>
      <c r="I469" s="115">
        <v>13636</v>
      </c>
      <c r="L469" s="115">
        <v>12059</v>
      </c>
      <c r="O469" s="115">
        <v>12971</v>
      </c>
      <c r="S469" s="115">
        <v>11525</v>
      </c>
      <c r="W469" s="115">
        <v>7880</v>
      </c>
      <c r="AA469" s="115">
        <v>6205</v>
      </c>
      <c r="AD469" s="115">
        <v>5838</v>
      </c>
      <c r="AF469" s="115">
        <v>6212</v>
      </c>
      <c r="AG469" s="104"/>
      <c r="AH469" s="104">
        <v>4369</v>
      </c>
      <c r="AI469" s="104"/>
      <c r="AJ469" s="104">
        <v>3955</v>
      </c>
      <c r="AK469" s="104">
        <v>97523</v>
      </c>
      <c r="AU469" s="101"/>
    </row>
    <row r="470" spans="2:47" ht="15.75" hidden="1" outlineLevel="1">
      <c r="B470" t="s">
        <v>792</v>
      </c>
      <c r="C470" s="104"/>
      <c r="D470" s="104"/>
      <c r="E470" s="104">
        <v>227.0445104988377</v>
      </c>
      <c r="F470" s="104"/>
      <c r="G470" s="104">
        <v>1074.9195914789834</v>
      </c>
      <c r="I470" s="115">
        <v>1412.7439884150756</v>
      </c>
      <c r="L470" s="115">
        <v>1221.2105102701878</v>
      </c>
      <c r="O470" s="115">
        <v>1312.0942418352959</v>
      </c>
      <c r="S470" s="115">
        <v>1142.5841240806374</v>
      </c>
      <c r="W470" s="115">
        <v>804.75972714454474</v>
      </c>
      <c r="AA470" s="115">
        <v>637.84059296520718</v>
      </c>
      <c r="AD470" s="115">
        <v>601.26786326740603</v>
      </c>
      <c r="AF470" s="115">
        <v>638.53816546625512</v>
      </c>
      <c r="AG470" s="104"/>
      <c r="AH470" s="104">
        <v>421.86654472009451</v>
      </c>
      <c r="AI470" s="104"/>
      <c r="AJ470" s="104">
        <v>399.44457147212381</v>
      </c>
      <c r="AK470" s="104">
        <v>9894.3144316146518</v>
      </c>
      <c r="AU470" s="101"/>
    </row>
    <row r="471" spans="2:47" ht="15.75" hidden="1" outlineLevel="1">
      <c r="B471" t="s">
        <v>793</v>
      </c>
      <c r="C471" s="104"/>
      <c r="D471" s="104"/>
      <c r="E471" s="104">
        <v>0</v>
      </c>
      <c r="F471" s="104"/>
      <c r="G471" s="104">
        <v>542.625</v>
      </c>
      <c r="I471" s="115">
        <v>1558.75</v>
      </c>
      <c r="L471" s="115">
        <v>1714.325</v>
      </c>
      <c r="O471" s="115">
        <v>1042.3499999999999</v>
      </c>
      <c r="S471" s="115">
        <v>321.60000000000002</v>
      </c>
      <c r="W471" s="115">
        <v>20</v>
      </c>
      <c r="AA471" s="115">
        <v>114</v>
      </c>
      <c r="AD471" s="115">
        <v>397.5</v>
      </c>
      <c r="AF471" s="115">
        <v>177.5</v>
      </c>
      <c r="AG471" s="104"/>
      <c r="AH471" s="104">
        <v>0</v>
      </c>
      <c r="AI471" s="104"/>
      <c r="AJ471" s="104">
        <v>0</v>
      </c>
      <c r="AK471" s="104">
        <v>5888.65</v>
      </c>
      <c r="AU471" s="101"/>
    </row>
    <row r="472" spans="2:47" ht="15.75" hidden="1" outlineLevel="1">
      <c r="B472" t="s">
        <v>966</v>
      </c>
      <c r="C472" s="104"/>
      <c r="D472" s="104"/>
      <c r="E472" s="104">
        <v>15</v>
      </c>
      <c r="F472" s="104"/>
      <c r="G472" s="104">
        <v>52</v>
      </c>
      <c r="I472" s="115">
        <v>37</v>
      </c>
      <c r="L472" s="115">
        <v>37</v>
      </c>
      <c r="O472" s="115">
        <v>37</v>
      </c>
      <c r="S472" s="115">
        <v>29</v>
      </c>
      <c r="W472" s="115">
        <v>25</v>
      </c>
      <c r="AA472" s="115">
        <v>18</v>
      </c>
      <c r="AD472" s="115">
        <v>53</v>
      </c>
      <c r="AF472" s="115">
        <v>67</v>
      </c>
      <c r="AG472" s="104"/>
      <c r="AH472" s="104">
        <v>13</v>
      </c>
      <c r="AI472" s="104"/>
      <c r="AJ472" s="104">
        <v>10</v>
      </c>
      <c r="AK472" s="104">
        <v>393</v>
      </c>
      <c r="AU472" s="101"/>
    </row>
    <row r="473" spans="2:47" ht="15.75" hidden="1" outlineLevel="1">
      <c r="B473" t="s">
        <v>794</v>
      </c>
      <c r="C473" s="104"/>
      <c r="D473" s="104"/>
      <c r="E473" s="104">
        <v>242.0445104988377</v>
      </c>
      <c r="F473" s="104"/>
      <c r="G473" s="104">
        <v>1669.5445914789834</v>
      </c>
      <c r="I473" s="115">
        <v>3008.4939884150754</v>
      </c>
      <c r="L473" s="115">
        <v>2972.5355102701878</v>
      </c>
      <c r="O473" s="115">
        <v>2391.4442418352955</v>
      </c>
      <c r="S473" s="115">
        <v>1493.1841240806375</v>
      </c>
      <c r="W473" s="115">
        <v>849.75972714454474</v>
      </c>
      <c r="AA473" s="115">
        <v>769.84059296520718</v>
      </c>
      <c r="AD473" s="115">
        <v>1051.767863267406</v>
      </c>
      <c r="AF473" s="115">
        <v>883.03816546625512</v>
      </c>
      <c r="AG473" s="104"/>
      <c r="AH473" s="104">
        <v>434.86654472009451</v>
      </c>
      <c r="AI473" s="104"/>
      <c r="AJ473" s="104">
        <v>409.44457147212381</v>
      </c>
      <c r="AK473" s="104">
        <v>16175.96443161465</v>
      </c>
      <c r="AU473" s="101"/>
    </row>
    <row r="474" spans="2:47" ht="15.75" collapsed="1">
      <c r="B474" t="s">
        <v>1333</v>
      </c>
      <c r="C474" s="104"/>
      <c r="D474" s="104"/>
      <c r="E474" s="104">
        <f>E473*1.1</f>
        <v>266.24896154872147</v>
      </c>
      <c r="F474" s="104"/>
      <c r="G474" s="104">
        <f>G473*1.1</f>
        <v>1836.4990506268819</v>
      </c>
      <c r="I474" s="115">
        <f>I473*1.1</f>
        <v>3309.3433872565834</v>
      </c>
      <c r="L474" s="115">
        <f>L473*1.1</f>
        <v>3269.7890612972069</v>
      </c>
      <c r="O474" s="115">
        <f>O473*1.1</f>
        <v>2630.5886660188253</v>
      </c>
      <c r="S474" s="115">
        <f>S473*1.1</f>
        <v>1642.5025364887015</v>
      </c>
      <c r="W474" s="115">
        <f>W473*1.1</f>
        <v>934.73569985899928</v>
      </c>
      <c r="AA474" s="115">
        <f>AA473*1.1</f>
        <v>846.82465226172792</v>
      </c>
      <c r="AD474" s="115">
        <f>AD473*1.1</f>
        <v>1156.9446495941468</v>
      </c>
      <c r="AF474" s="115">
        <f>AF473*1.1</f>
        <v>971.34198201288075</v>
      </c>
      <c r="AG474" s="104"/>
      <c r="AH474" s="104">
        <f>AH473*1.1</f>
        <v>478.353199192104</v>
      </c>
      <c r="AI474" s="104"/>
      <c r="AJ474" s="104">
        <f>AJ473*1.1</f>
        <v>450.38902861933622</v>
      </c>
      <c r="AK474" s="104">
        <f>SUM(C474:AJ474)</f>
        <v>17793.560874776114</v>
      </c>
      <c r="AL474" s="104">
        <f>AL473*1.1</f>
        <v>0</v>
      </c>
      <c r="AU474" s="101"/>
    </row>
    <row r="475" spans="2:47">
      <c r="B475"/>
      <c r="E475" t="s">
        <v>1175</v>
      </c>
      <c r="G475" t="s">
        <v>1176</v>
      </c>
      <c r="I475" s="115" t="s">
        <v>1177</v>
      </c>
      <c r="L475" s="115" t="s">
        <v>1178</v>
      </c>
      <c r="O475" s="115" t="s">
        <v>1179</v>
      </c>
      <c r="S475" s="115" t="s">
        <v>1180</v>
      </c>
      <c r="W475" s="115" t="s">
        <v>1181</v>
      </c>
      <c r="AA475" s="115" t="s">
        <v>1182</v>
      </c>
      <c r="AD475" s="115" t="s">
        <v>1183</v>
      </c>
      <c r="AF475" s="115" t="s">
        <v>1184</v>
      </c>
      <c r="AH475" t="s">
        <v>1185</v>
      </c>
      <c r="AJ475" t="s">
        <v>1186</v>
      </c>
    </row>
    <row r="476" spans="2:47">
      <c r="B476" s="93" t="s">
        <v>29</v>
      </c>
      <c r="C476" s="93"/>
      <c r="D476" s="93"/>
      <c r="E476" s="93">
        <v>2.5355555555555553</v>
      </c>
      <c r="F476" s="93"/>
      <c r="G476" s="93">
        <v>11.767777777777777</v>
      </c>
      <c r="H476" s="115">
        <v>0</v>
      </c>
      <c r="I476" s="115">
        <v>15.151111111111112</v>
      </c>
      <c r="L476" s="115">
        <v>13.398888888888889</v>
      </c>
      <c r="O476" s="115">
        <v>14.412222222222223</v>
      </c>
      <c r="S476" s="115">
        <v>12.805555555555555</v>
      </c>
      <c r="W476" s="115">
        <v>8.7555555555555564</v>
      </c>
      <c r="AA476" s="115">
        <v>6.8944444444444448</v>
      </c>
      <c r="AD476" s="115">
        <v>6.4866666666666664</v>
      </c>
      <c r="AF476" s="115">
        <v>6.902222222222222</v>
      </c>
      <c r="AG476" s="93"/>
      <c r="AH476" s="93">
        <v>4.8544444444444448</v>
      </c>
      <c r="AI476" s="93"/>
      <c r="AJ476" s="93">
        <v>4.3944444444444448</v>
      </c>
      <c r="AK476" s="93"/>
    </row>
    <row r="477" spans="2:47">
      <c r="B477" t="s">
        <v>387</v>
      </c>
      <c r="E477">
        <v>0</v>
      </c>
      <c r="G477">
        <v>0</v>
      </c>
      <c r="H477" s="115">
        <v>0</v>
      </c>
      <c r="I477" s="115">
        <v>0.14649022522007546</v>
      </c>
      <c r="L477" s="115">
        <v>0.27404633969742009</v>
      </c>
      <c r="O477" s="115">
        <v>0.14649022522007546</v>
      </c>
      <c r="S477" s="115">
        <v>0.19382550207690258</v>
      </c>
      <c r="W477" s="115">
        <v>8.8760717960443589E-2</v>
      </c>
      <c r="AA477" s="115">
        <v>2.4913303608856369E-2</v>
      </c>
      <c r="AD477" s="115">
        <v>0.22222666819099884</v>
      </c>
      <c r="AF477" s="115">
        <v>0.36177584695705195</v>
      </c>
      <c r="AH477">
        <v>0.36177584695705195</v>
      </c>
      <c r="AJ477">
        <v>0.36177584695705195</v>
      </c>
    </row>
    <row r="478" spans="2:47" ht="15.75">
      <c r="B478"/>
      <c r="AK478" s="101"/>
    </row>
    <row r="479" spans="2:47" ht="15.75">
      <c r="B479" t="s">
        <v>1334</v>
      </c>
      <c r="C479" s="16"/>
      <c r="D479" s="16"/>
      <c r="E479" s="16" t="s">
        <v>944</v>
      </c>
      <c r="F479" s="16"/>
      <c r="G479" s="16" t="s">
        <v>945</v>
      </c>
      <c r="H479" s="390"/>
      <c r="I479" s="390" t="s">
        <v>946</v>
      </c>
      <c r="J479" s="390"/>
      <c r="K479" s="390"/>
      <c r="L479" s="390" t="s">
        <v>947</v>
      </c>
      <c r="M479" s="390"/>
      <c r="N479" s="390"/>
      <c r="O479" s="390" t="s">
        <v>948</v>
      </c>
      <c r="P479" s="390"/>
      <c r="Q479" s="390"/>
      <c r="R479" s="390"/>
      <c r="S479" s="390" t="s">
        <v>949</v>
      </c>
      <c r="T479" s="390"/>
      <c r="U479" s="390"/>
      <c r="V479" s="390"/>
      <c r="W479" s="390" t="s">
        <v>950</v>
      </c>
      <c r="X479" s="390"/>
      <c r="Y479" s="390"/>
      <c r="Z479" s="390"/>
      <c r="AA479" s="390" t="s">
        <v>951</v>
      </c>
      <c r="AB479" s="390"/>
      <c r="AC479" s="390"/>
      <c r="AD479" s="390" t="s">
        <v>952</v>
      </c>
      <c r="AE479" s="402"/>
      <c r="AF479" s="390" t="s">
        <v>953</v>
      </c>
      <c r="AG479" s="16"/>
      <c r="AH479" s="16" t="s">
        <v>954</v>
      </c>
      <c r="AI479" s="16"/>
      <c r="AJ479" s="16" t="s">
        <v>955</v>
      </c>
      <c r="AK479" s="16"/>
      <c r="AU479" s="101"/>
    </row>
    <row r="480" spans="2:47" ht="15.75">
      <c r="B480" t="s">
        <v>1298</v>
      </c>
      <c r="C480" s="16" t="s">
        <v>1299</v>
      </c>
      <c r="D480" s="16"/>
      <c r="E480" s="16" t="s">
        <v>1300</v>
      </c>
      <c r="F480" s="16" t="s">
        <v>1301</v>
      </c>
      <c r="G480" s="16" t="s">
        <v>1302</v>
      </c>
      <c r="H480" s="390" t="s">
        <v>1303</v>
      </c>
      <c r="I480" s="390" t="s">
        <v>1304</v>
      </c>
      <c r="J480" s="390"/>
      <c r="K480" s="390" t="s">
        <v>1305</v>
      </c>
      <c r="L480" s="390" t="s">
        <v>1306</v>
      </c>
      <c r="M480" s="390" t="s">
        <v>1307</v>
      </c>
      <c r="N480" s="390"/>
      <c r="O480" s="390" t="s">
        <v>1308</v>
      </c>
      <c r="P480" s="390"/>
      <c r="Q480" s="390" t="s">
        <v>1309</v>
      </c>
      <c r="R480" s="390"/>
      <c r="S480" s="390" t="s">
        <v>1310</v>
      </c>
      <c r="T480" s="390"/>
      <c r="U480" s="390" t="s">
        <v>1311</v>
      </c>
      <c r="V480" s="390"/>
      <c r="W480" s="390" t="s">
        <v>1312</v>
      </c>
      <c r="X480" s="390"/>
      <c r="Y480" s="390" t="s">
        <v>1313</v>
      </c>
      <c r="Z480" s="390"/>
      <c r="AA480" s="390" t="s">
        <v>1314</v>
      </c>
      <c r="AB480" s="390"/>
      <c r="AC480" s="390" t="s">
        <v>1315</v>
      </c>
      <c r="AD480" s="390" t="s">
        <v>1316</v>
      </c>
      <c r="AE480" s="402" t="s">
        <v>1317</v>
      </c>
      <c r="AF480" s="390" t="s">
        <v>1318</v>
      </c>
      <c r="AG480" s="16" t="s">
        <v>1319</v>
      </c>
      <c r="AH480" s="16" t="s">
        <v>1320</v>
      </c>
      <c r="AI480" s="16" t="s">
        <v>1321</v>
      </c>
      <c r="AJ480" s="16" t="s">
        <v>1322</v>
      </c>
      <c r="AK480" s="16"/>
      <c r="AU480" s="101"/>
    </row>
    <row r="481" spans="2:47" ht="15.75">
      <c r="B481" t="s">
        <v>27</v>
      </c>
      <c r="C481" t="s">
        <v>6</v>
      </c>
      <c r="E481" t="s">
        <v>6</v>
      </c>
      <c r="F481" t="s">
        <v>6</v>
      </c>
      <c r="G481" t="s">
        <v>7</v>
      </c>
      <c r="H481" s="115" t="s">
        <v>7</v>
      </c>
      <c r="I481" s="115" t="s">
        <v>7</v>
      </c>
      <c r="K481" s="115" t="s">
        <v>7</v>
      </c>
      <c r="L481" s="115" t="s">
        <v>7</v>
      </c>
      <c r="M481" s="115" t="s">
        <v>7</v>
      </c>
      <c r="O481" s="115" t="s">
        <v>8</v>
      </c>
      <c r="Q481" s="115" t="s">
        <v>8</v>
      </c>
      <c r="S481" s="115" t="s">
        <v>8</v>
      </c>
      <c r="U481" s="115" t="s">
        <v>8</v>
      </c>
      <c r="W481" s="115" t="s">
        <v>9</v>
      </c>
      <c r="Y481" s="115" t="s">
        <v>9</v>
      </c>
      <c r="AA481" s="115" t="s">
        <v>9</v>
      </c>
      <c r="AC481" s="115" t="s">
        <v>9</v>
      </c>
      <c r="AD481" s="115" t="s">
        <v>9</v>
      </c>
      <c r="AE481" s="403" t="s">
        <v>9</v>
      </c>
      <c r="AF481" s="115" t="s">
        <v>9</v>
      </c>
      <c r="AG481" t="s">
        <v>9</v>
      </c>
      <c r="AH481" t="s">
        <v>751</v>
      </c>
      <c r="AI481" t="s">
        <v>751</v>
      </c>
      <c r="AJ481" t="s">
        <v>751</v>
      </c>
      <c r="AU481" s="101"/>
    </row>
    <row r="482" spans="2:47" s="102" customFormat="1" ht="60.95" customHeight="1">
      <c r="B482" s="102" t="s">
        <v>1323</v>
      </c>
      <c r="C482" s="102" t="s">
        <v>1324</v>
      </c>
      <c r="H482" s="428"/>
      <c r="I482" s="428"/>
      <c r="J482" s="428"/>
      <c r="K482" s="428"/>
      <c r="L482" s="428" t="s">
        <v>1325</v>
      </c>
      <c r="M482" s="428" t="s">
        <v>1326</v>
      </c>
      <c r="N482" s="428"/>
      <c r="O482" s="428"/>
      <c r="P482" s="428"/>
      <c r="Q482" s="428"/>
      <c r="R482" s="428"/>
      <c r="S482" s="428" t="s">
        <v>1188</v>
      </c>
      <c r="T482" s="428"/>
      <c r="U482" s="428" t="s">
        <v>1189</v>
      </c>
      <c r="V482" s="428"/>
      <c r="W482" s="428"/>
      <c r="X482" s="428"/>
      <c r="Y482" s="428"/>
      <c r="Z482" s="428"/>
      <c r="AA482" s="428" t="s">
        <v>1327</v>
      </c>
      <c r="AB482" s="428"/>
      <c r="AC482" s="428" t="s">
        <v>1328</v>
      </c>
      <c r="AD482" s="428"/>
      <c r="AE482" s="411"/>
      <c r="AF482" s="428" t="s">
        <v>1329</v>
      </c>
      <c r="AG482" s="102" t="s">
        <v>1330</v>
      </c>
      <c r="AI482" s="102" t="s">
        <v>1331</v>
      </c>
      <c r="AJ482" s="102" t="s">
        <v>1332</v>
      </c>
      <c r="AU482" s="103"/>
    </row>
    <row r="483" spans="2:47" ht="15.75">
      <c r="B483" t="s">
        <v>791</v>
      </c>
      <c r="C483" s="104"/>
      <c r="D483" s="104"/>
      <c r="E483" s="104"/>
      <c r="F483" s="104">
        <f>E469</f>
        <v>2282</v>
      </c>
      <c r="G483" s="104"/>
      <c r="I483" s="115">
        <f>G469</f>
        <v>10591</v>
      </c>
      <c r="M483" s="115">
        <f>I469</f>
        <v>13636</v>
      </c>
      <c r="Q483" s="115">
        <v>12059</v>
      </c>
      <c r="U483" s="115">
        <v>12971</v>
      </c>
      <c r="Y483" s="115">
        <v>11525</v>
      </c>
      <c r="AC483" s="115">
        <v>7880</v>
      </c>
      <c r="AE483" s="403">
        <v>6205</v>
      </c>
      <c r="AG483" s="104">
        <v>5838</v>
      </c>
      <c r="AH483" s="104">
        <f>AF469</f>
        <v>6212</v>
      </c>
      <c r="AI483" s="104">
        <f>AH469</f>
        <v>4369</v>
      </c>
      <c r="AJ483" s="104">
        <f>AJ469</f>
        <v>3955</v>
      </c>
      <c r="AK483" s="104">
        <f t="shared" ref="AK483:AK488" si="111">SUM(C483:AJ483)</f>
        <v>97523</v>
      </c>
      <c r="AU483" s="101"/>
    </row>
    <row r="484" spans="2:47" ht="15.75">
      <c r="B484" t="s">
        <v>792</v>
      </c>
      <c r="C484" s="104"/>
      <c r="D484" s="104"/>
      <c r="E484" s="104"/>
      <c r="F484" s="104">
        <f>E470</f>
        <v>227.0445104988377</v>
      </c>
      <c r="G484" s="104"/>
      <c r="I484" s="115">
        <f>G470</f>
        <v>1074.9195914789834</v>
      </c>
      <c r="M484" s="115">
        <f>I470</f>
        <v>1412.7439884150756</v>
      </c>
      <c r="Q484" s="115">
        <v>1221.2105102701878</v>
      </c>
      <c r="U484" s="115">
        <v>1312.0942418352959</v>
      </c>
      <c r="Y484" s="115">
        <v>1142.5841240806374</v>
      </c>
      <c r="AC484" s="115">
        <v>804.75972714454474</v>
      </c>
      <c r="AE484" s="403">
        <v>637.84059296520718</v>
      </c>
      <c r="AG484" s="104">
        <v>601.26786326740603</v>
      </c>
      <c r="AH484" s="104">
        <f>AF470</f>
        <v>638.53816546625512</v>
      </c>
      <c r="AI484" s="104">
        <f>AH470</f>
        <v>421.86654472009451</v>
      </c>
      <c r="AJ484" s="104">
        <f>AJ470</f>
        <v>399.44457147212381</v>
      </c>
      <c r="AK484" s="104">
        <f t="shared" si="111"/>
        <v>9894.3144316146518</v>
      </c>
      <c r="AU484" s="101"/>
    </row>
    <row r="485" spans="2:47" ht="15.75">
      <c r="B485" t="s">
        <v>793</v>
      </c>
      <c r="C485" s="104"/>
      <c r="D485" s="104"/>
      <c r="E485" s="104"/>
      <c r="F485" s="104">
        <f>E471</f>
        <v>0</v>
      </c>
      <c r="G485" s="104"/>
      <c r="I485" s="115">
        <f>G471</f>
        <v>542.625</v>
      </c>
      <c r="M485" s="115">
        <f>I471</f>
        <v>1558.75</v>
      </c>
      <c r="Q485" s="115">
        <v>1714.325</v>
      </c>
      <c r="U485" s="115">
        <v>1042.3499999999999</v>
      </c>
      <c r="Y485" s="115">
        <v>321.60000000000002</v>
      </c>
      <c r="AC485" s="115">
        <v>20</v>
      </c>
      <c r="AE485" s="403">
        <v>114</v>
      </c>
      <c r="AG485" s="104">
        <v>397.5</v>
      </c>
      <c r="AH485" s="104">
        <f>AF471</f>
        <v>177.5</v>
      </c>
      <c r="AI485" s="104">
        <f>AH471</f>
        <v>0</v>
      </c>
      <c r="AJ485" s="104">
        <f>AJ471</f>
        <v>0</v>
      </c>
      <c r="AK485" s="104">
        <f t="shared" si="111"/>
        <v>5888.65</v>
      </c>
      <c r="AU485" s="101"/>
    </row>
    <row r="486" spans="2:47" ht="15.75">
      <c r="B486" t="s">
        <v>966</v>
      </c>
      <c r="C486" s="104"/>
      <c r="D486" s="104"/>
      <c r="E486" s="104"/>
      <c r="F486" s="104">
        <f>E472</f>
        <v>15</v>
      </c>
      <c r="G486" s="104"/>
      <c r="I486" s="115">
        <f>G472</f>
        <v>52</v>
      </c>
      <c r="M486" s="115">
        <f>I472</f>
        <v>37</v>
      </c>
      <c r="Q486" s="115">
        <v>37</v>
      </c>
      <c r="U486" s="115">
        <v>37</v>
      </c>
      <c r="Y486" s="115">
        <v>29</v>
      </c>
      <c r="AC486" s="115">
        <v>25</v>
      </c>
      <c r="AE486" s="403">
        <v>18</v>
      </c>
      <c r="AG486" s="104">
        <v>53</v>
      </c>
      <c r="AH486" s="104">
        <f>AF472</f>
        <v>67</v>
      </c>
      <c r="AI486" s="104">
        <f>AH472</f>
        <v>13</v>
      </c>
      <c r="AJ486" s="104">
        <f>AJ472</f>
        <v>10</v>
      </c>
      <c r="AK486" s="104">
        <f t="shared" si="111"/>
        <v>393</v>
      </c>
      <c r="AU486" s="101"/>
    </row>
    <row r="487" spans="2:47" ht="15.75">
      <c r="B487" t="s">
        <v>794</v>
      </c>
      <c r="C487" s="104"/>
      <c r="D487" s="104"/>
      <c r="E487" s="104"/>
      <c r="F487" s="104">
        <f>SUM(F484:F486)</f>
        <v>242.0445104988377</v>
      </c>
      <c r="G487" s="104">
        <f t="shared" ref="G487:AJ487" si="112">SUM(G484:G486)</f>
        <v>0</v>
      </c>
      <c r="H487" s="115">
        <f t="shared" si="112"/>
        <v>0</v>
      </c>
      <c r="I487" s="115">
        <f t="shared" si="112"/>
        <v>1669.5445914789834</v>
      </c>
      <c r="K487" s="115">
        <f t="shared" si="112"/>
        <v>0</v>
      </c>
      <c r="L487" s="115">
        <f t="shared" si="112"/>
        <v>0</v>
      </c>
      <c r="M487" s="115">
        <f t="shared" si="112"/>
        <v>3008.4939884150754</v>
      </c>
      <c r="O487" s="115">
        <f t="shared" si="112"/>
        <v>0</v>
      </c>
      <c r="Q487" s="115">
        <v>2972.5355102701878</v>
      </c>
      <c r="S487" s="115">
        <f t="shared" si="112"/>
        <v>0</v>
      </c>
      <c r="U487" s="115">
        <v>2391.4442418352955</v>
      </c>
      <c r="W487" s="115">
        <f t="shared" si="112"/>
        <v>0</v>
      </c>
      <c r="Y487" s="115">
        <v>1493.1841240806375</v>
      </c>
      <c r="AC487" s="115">
        <v>849.75972714454474</v>
      </c>
      <c r="AE487" s="403">
        <v>769.84059296520718</v>
      </c>
      <c r="AG487" s="104">
        <v>1051.767863267406</v>
      </c>
      <c r="AH487" s="104">
        <f t="shared" si="112"/>
        <v>883.03816546625512</v>
      </c>
      <c r="AI487" s="104">
        <f t="shared" si="112"/>
        <v>434.86654472009451</v>
      </c>
      <c r="AJ487" s="104">
        <f t="shared" si="112"/>
        <v>409.44457147212381</v>
      </c>
      <c r="AK487" s="104">
        <f t="shared" si="111"/>
        <v>16175.96443161465</v>
      </c>
      <c r="AU487" s="101"/>
    </row>
    <row r="488" spans="2:47" s="101" customFormat="1" ht="15.75">
      <c r="B488" s="101" t="s">
        <v>1333</v>
      </c>
      <c r="C488" s="106">
        <f t="shared" ref="C488:H488" si="113">C487*1.1</f>
        <v>0</v>
      </c>
      <c r="D488" s="106"/>
      <c r="E488" s="106">
        <f t="shared" si="113"/>
        <v>0</v>
      </c>
      <c r="F488" s="106">
        <f t="shared" si="113"/>
        <v>266.24896154872147</v>
      </c>
      <c r="G488" s="106">
        <f t="shared" si="113"/>
        <v>0</v>
      </c>
      <c r="H488" s="429">
        <f t="shared" si="113"/>
        <v>0</v>
      </c>
      <c r="I488" s="429">
        <f>I487*1.1</f>
        <v>1836.4990506268819</v>
      </c>
      <c r="J488" s="429"/>
      <c r="K488" s="429">
        <f t="shared" ref="K488:AI488" si="114">K487*1.1</f>
        <v>0</v>
      </c>
      <c r="L488" s="429">
        <f t="shared" si="114"/>
        <v>0</v>
      </c>
      <c r="M488" s="429">
        <f t="shared" si="114"/>
        <v>3309.3433872565834</v>
      </c>
      <c r="N488" s="429"/>
      <c r="O488" s="429">
        <f t="shared" si="114"/>
        <v>0</v>
      </c>
      <c r="P488" s="429"/>
      <c r="Q488" s="429">
        <f t="shared" si="114"/>
        <v>3269.7890612972069</v>
      </c>
      <c r="R488" s="429"/>
      <c r="S488" s="429">
        <f t="shared" si="114"/>
        <v>0</v>
      </c>
      <c r="T488" s="429"/>
      <c r="U488" s="429">
        <f t="shared" si="114"/>
        <v>2630.5886660188253</v>
      </c>
      <c r="V488" s="429"/>
      <c r="W488" s="429">
        <f t="shared" si="114"/>
        <v>0</v>
      </c>
      <c r="X488" s="429"/>
      <c r="Y488" s="429">
        <f t="shared" si="114"/>
        <v>1642.5025364887015</v>
      </c>
      <c r="Z488" s="429"/>
      <c r="AA488" s="429">
        <f t="shared" si="114"/>
        <v>0</v>
      </c>
      <c r="AB488" s="429"/>
      <c r="AC488" s="429">
        <f t="shared" si="114"/>
        <v>934.73569985899928</v>
      </c>
      <c r="AD488" s="429">
        <f t="shared" si="114"/>
        <v>0</v>
      </c>
      <c r="AE488" s="412">
        <f t="shared" si="114"/>
        <v>846.82465226172792</v>
      </c>
      <c r="AF488" s="429">
        <f t="shared" si="114"/>
        <v>0</v>
      </c>
      <c r="AG488" s="106">
        <f t="shared" si="114"/>
        <v>1156.9446495941468</v>
      </c>
      <c r="AH488" s="106">
        <f t="shared" si="114"/>
        <v>971.34198201288075</v>
      </c>
      <c r="AI488" s="106">
        <f t="shared" si="114"/>
        <v>478.353199192104</v>
      </c>
      <c r="AJ488" s="106">
        <f>AJ487*1.1</f>
        <v>450.38902861933622</v>
      </c>
      <c r="AK488" s="106">
        <f t="shared" si="111"/>
        <v>17793.560874776114</v>
      </c>
      <c r="AL488" s="106">
        <f>AL487*1.1</f>
        <v>0</v>
      </c>
    </row>
    <row r="489" spans="2:47">
      <c r="B489" t="s">
        <v>1335</v>
      </c>
      <c r="C489" s="105">
        <f>C488-C487</f>
        <v>0</v>
      </c>
      <c r="D489" s="105"/>
      <c r="E489" s="105">
        <f t="shared" ref="E489:AK489" si="115">E488-E487</f>
        <v>0</v>
      </c>
      <c r="F489" s="105">
        <f t="shared" si="115"/>
        <v>24.204451049883772</v>
      </c>
      <c r="G489" s="105">
        <f t="shared" si="115"/>
        <v>0</v>
      </c>
      <c r="H489" s="115">
        <f t="shared" si="115"/>
        <v>0</v>
      </c>
      <c r="I489" s="115">
        <f t="shared" si="115"/>
        <v>166.95445914789843</v>
      </c>
      <c r="K489" s="115">
        <f t="shared" si="115"/>
        <v>0</v>
      </c>
      <c r="L489" s="115">
        <f t="shared" si="115"/>
        <v>0</v>
      </c>
      <c r="M489" s="115">
        <f t="shared" si="115"/>
        <v>300.84939884150799</v>
      </c>
      <c r="O489" s="115">
        <f t="shared" si="115"/>
        <v>0</v>
      </c>
      <c r="Q489" s="115">
        <f t="shared" si="115"/>
        <v>297.25355102701906</v>
      </c>
      <c r="S489" s="115">
        <f t="shared" si="115"/>
        <v>0</v>
      </c>
      <c r="U489" s="115">
        <f t="shared" si="115"/>
        <v>239.14442418352974</v>
      </c>
      <c r="W489" s="115">
        <f t="shared" si="115"/>
        <v>0</v>
      </c>
      <c r="Y489" s="115">
        <f t="shared" si="115"/>
        <v>149.31841240806398</v>
      </c>
      <c r="AA489" s="115">
        <f t="shared" si="115"/>
        <v>0</v>
      </c>
      <c r="AC489" s="115">
        <f t="shared" si="115"/>
        <v>84.975972714454542</v>
      </c>
      <c r="AD489" s="115">
        <f t="shared" si="115"/>
        <v>0</v>
      </c>
      <c r="AE489" s="403">
        <f t="shared" si="115"/>
        <v>76.984059296520741</v>
      </c>
      <c r="AF489" s="115">
        <f t="shared" si="115"/>
        <v>0</v>
      </c>
      <c r="AG489" s="105">
        <f t="shared" si="115"/>
        <v>105.17678632674074</v>
      </c>
      <c r="AH489" s="105">
        <f t="shared" si="115"/>
        <v>88.303816546625626</v>
      </c>
      <c r="AI489" s="105">
        <f t="shared" si="115"/>
        <v>43.486654472009491</v>
      </c>
      <c r="AJ489" s="105">
        <f t="shared" si="115"/>
        <v>40.944457147212404</v>
      </c>
      <c r="AK489" s="105">
        <f t="shared" si="115"/>
        <v>1617.5964431614648</v>
      </c>
    </row>
    <row r="490" spans="2:47">
      <c r="B490"/>
      <c r="E490" t="s">
        <v>1175</v>
      </c>
      <c r="G490" t="s">
        <v>1176</v>
      </c>
      <c r="I490" s="115" t="s">
        <v>1177</v>
      </c>
      <c r="L490" s="115" t="s">
        <v>1178</v>
      </c>
      <c r="O490" s="115" t="s">
        <v>1179</v>
      </c>
      <c r="S490" s="115" t="s">
        <v>1180</v>
      </c>
      <c r="W490" s="115" t="s">
        <v>1181</v>
      </c>
      <c r="AA490" s="115" t="s">
        <v>1182</v>
      </c>
      <c r="AD490" s="115" t="s">
        <v>1183</v>
      </c>
      <c r="AF490" s="115" t="s">
        <v>1184</v>
      </c>
      <c r="AH490" t="s">
        <v>1185</v>
      </c>
      <c r="AJ490" t="s">
        <v>1186</v>
      </c>
    </row>
    <row r="491" spans="2:47">
      <c r="B491" s="93" t="s">
        <v>29</v>
      </c>
      <c r="C491" s="93"/>
      <c r="D491" s="93"/>
      <c r="E491" s="93"/>
      <c r="F491" s="93">
        <v>2.5355555555555553</v>
      </c>
      <c r="G491" s="93"/>
      <c r="I491" s="115">
        <v>11.767777777777777</v>
      </c>
      <c r="M491" s="115">
        <v>15.151111111111112</v>
      </c>
      <c r="O491" s="115">
        <v>13.398888888888889</v>
      </c>
      <c r="U491" s="115">
        <v>14.412222222222223</v>
      </c>
      <c r="Y491" s="115">
        <v>12.805555555555555</v>
      </c>
      <c r="AC491" s="115">
        <v>8.7555555555555564</v>
      </c>
      <c r="AE491" s="403">
        <v>6.8944444444444448</v>
      </c>
      <c r="AG491" s="93">
        <v>6.4866666666666664</v>
      </c>
      <c r="AH491" s="93">
        <v>6.902222222222222</v>
      </c>
      <c r="AI491" s="93">
        <v>4.8544444444444448</v>
      </c>
      <c r="AJ491" s="93">
        <v>4.3944444444444448</v>
      </c>
      <c r="AK491" s="93"/>
    </row>
    <row r="492" spans="2:47">
      <c r="B492" t="s">
        <v>387</v>
      </c>
      <c r="F492">
        <v>0</v>
      </c>
      <c r="I492" s="115">
        <v>0</v>
      </c>
      <c r="M492" s="115">
        <f>0.146490225220075*1000</f>
        <v>146.49022522007499</v>
      </c>
      <c r="O492" s="115">
        <f>0.27404633969742*1000</f>
        <v>274.04633969741997</v>
      </c>
      <c r="U492" s="115">
        <f>0.146490225220075*1000</f>
        <v>146.49022522007499</v>
      </c>
      <c r="Y492" s="115">
        <f>0.193825502076903*1000</f>
        <v>193.82550207690301</v>
      </c>
      <c r="AC492" s="115">
        <f>0.0887607179604436*1000</f>
        <v>88.7607179604436</v>
      </c>
      <c r="AE492" s="403">
        <f>0.0249133036088564*1000</f>
        <v>24.913303608856399</v>
      </c>
      <c r="AG492">
        <f>0.222226668190999*1000</f>
        <v>222.22666819099902</v>
      </c>
      <c r="AH492">
        <f>0.361775846957052*1000</f>
        <v>361.77584695705201</v>
      </c>
      <c r="AI492">
        <f>0.361775846957052*1000</f>
        <v>361.77584695705201</v>
      </c>
      <c r="AJ492">
        <f>0.361775846957052*1000</f>
        <v>361.77584695705201</v>
      </c>
    </row>
  </sheetData>
  <phoneticPr fontId="28" type="noConversion"/>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FFC000"/>
    <outlinePr summaryBelow="0"/>
    <pageSetUpPr fitToPage="1"/>
  </sheetPr>
  <dimension ref="A1:M469"/>
  <sheetViews>
    <sheetView zoomScale="130" zoomScaleNormal="130" workbookViewId="0">
      <pane xSplit="5" ySplit="8" topLeftCell="F12" activePane="bottomRight" state="frozen"/>
      <selection pane="topRight" activeCell="F1" sqref="F1"/>
      <selection pane="bottomLeft" activeCell="A9" sqref="A9"/>
      <selection pane="bottomRight" activeCell="G88" sqref="G88"/>
    </sheetView>
  </sheetViews>
  <sheetFormatPr defaultColWidth="8.85546875" defaultRowHeight="15"/>
  <cols>
    <col min="1" max="1" width="9.7109375" style="325" customWidth="1"/>
    <col min="2" max="2" width="41.42578125" style="325" customWidth="1"/>
    <col min="3" max="3" width="7.85546875" style="325" customWidth="1"/>
    <col min="4" max="4" width="11.140625" style="325" customWidth="1"/>
    <col min="5" max="5" width="11.7109375" style="325" customWidth="1"/>
    <col min="6" max="6" width="8.42578125" style="325" customWidth="1"/>
    <col min="7" max="7" width="15.42578125" style="325" customWidth="1"/>
    <col min="8" max="8" width="9.7109375" style="325" customWidth="1"/>
    <col min="9" max="9" width="8.140625" style="325" customWidth="1"/>
    <col min="10" max="16384" width="8.85546875" style="325"/>
  </cols>
  <sheetData>
    <row r="1" spans="1:13" ht="18.75">
      <c r="A1" s="348" t="s">
        <v>15</v>
      </c>
    </row>
    <row r="2" spans="1:13" ht="15.75">
      <c r="A2" s="347">
        <v>1.2</v>
      </c>
      <c r="B2" s="345"/>
      <c r="C2" s="345"/>
      <c r="D2" s="345"/>
      <c r="E2" s="345"/>
    </row>
    <row r="3" spans="1:13" ht="15.75">
      <c r="A3" s="346" t="s">
        <v>16</v>
      </c>
      <c r="B3" s="345"/>
      <c r="C3" s="345"/>
      <c r="D3" s="345"/>
      <c r="E3" s="345"/>
    </row>
    <row r="4" spans="1:13">
      <c r="A4" s="325">
        <v>1</v>
      </c>
      <c r="B4" s="325">
        <v>2</v>
      </c>
    </row>
    <row r="6" spans="1:13">
      <c r="G6" s="325" t="s">
        <v>17</v>
      </c>
    </row>
    <row r="7" spans="1:13">
      <c r="J7" s="350" t="s">
        <v>18</v>
      </c>
      <c r="K7" s="350" t="s">
        <v>19</v>
      </c>
      <c r="L7" s="350" t="s">
        <v>18</v>
      </c>
      <c r="M7" s="350" t="s">
        <v>19</v>
      </c>
    </row>
    <row r="8" spans="1:13" ht="30">
      <c r="A8" s="336" t="s">
        <v>20</v>
      </c>
      <c r="B8" s="329" t="s">
        <v>21</v>
      </c>
      <c r="C8" s="329" t="s">
        <v>22</v>
      </c>
      <c r="D8" s="329" t="s">
        <v>23</v>
      </c>
      <c r="E8" s="329" t="s">
        <v>24</v>
      </c>
      <c r="F8" s="336" t="s">
        <v>25</v>
      </c>
      <c r="G8" s="344" t="s">
        <v>0</v>
      </c>
      <c r="H8" s="344" t="s">
        <v>26</v>
      </c>
      <c r="I8" s="344" t="s">
        <v>27</v>
      </c>
      <c r="J8" s="344" t="s">
        <v>28</v>
      </c>
      <c r="K8" s="344"/>
      <c r="L8" s="344" t="s">
        <v>29</v>
      </c>
    </row>
    <row r="9" spans="1:13" hidden="1">
      <c r="A9" s="337">
        <v>100000</v>
      </c>
      <c r="B9" s="337" t="s">
        <v>30</v>
      </c>
      <c r="C9" s="337"/>
      <c r="D9" s="337"/>
      <c r="E9" s="337"/>
      <c r="F9" s="336"/>
    </row>
    <row r="10" spans="1:13" s="329" customFormat="1" hidden="1">
      <c r="A10" s="333">
        <v>110000</v>
      </c>
      <c r="B10" s="329" t="s">
        <v>31</v>
      </c>
      <c r="C10" s="329" t="s">
        <v>32</v>
      </c>
      <c r="D10" s="329" t="s">
        <v>12</v>
      </c>
      <c r="E10" s="329" t="s">
        <v>13</v>
      </c>
      <c r="G10" s="325"/>
      <c r="H10" s="325"/>
      <c r="I10" s="325"/>
    </row>
    <row r="11" spans="1:13" hidden="1">
      <c r="A11" s="331">
        <v>110100</v>
      </c>
      <c r="B11" s="325" t="s">
        <v>33</v>
      </c>
      <c r="C11" s="329" t="s">
        <v>32</v>
      </c>
      <c r="D11" s="329" t="s">
        <v>12</v>
      </c>
      <c r="E11" s="329" t="s">
        <v>13</v>
      </c>
      <c r="G11" s="325" t="s">
        <v>34</v>
      </c>
      <c r="H11" s="325" t="s">
        <v>35</v>
      </c>
      <c r="I11" s="325" t="s">
        <v>6</v>
      </c>
      <c r="J11" s="327">
        <v>78.061180936032798</v>
      </c>
      <c r="K11" s="327"/>
      <c r="L11" s="326">
        <v>1.3333333333333333</v>
      </c>
    </row>
    <row r="12" spans="1:13">
      <c r="A12" s="331">
        <v>110100</v>
      </c>
      <c r="B12" s="325" t="s">
        <v>33</v>
      </c>
      <c r="C12" s="329" t="s">
        <v>32</v>
      </c>
      <c r="D12" s="329" t="s">
        <v>12</v>
      </c>
      <c r="E12" s="329" t="s">
        <v>13</v>
      </c>
      <c r="G12" s="325" t="s">
        <v>34</v>
      </c>
      <c r="H12" s="325" t="s">
        <v>35</v>
      </c>
      <c r="I12" s="325" t="s">
        <v>7</v>
      </c>
      <c r="J12" s="327">
        <v>499.69451924451539</v>
      </c>
      <c r="K12" s="327"/>
      <c r="L12" s="326">
        <v>2</v>
      </c>
    </row>
    <row r="13" spans="1:13" hidden="1">
      <c r="A13" s="331">
        <v>110100</v>
      </c>
      <c r="B13" s="325" t="s">
        <v>33</v>
      </c>
      <c r="C13" s="329" t="s">
        <v>32</v>
      </c>
      <c r="D13" s="329" t="s">
        <v>12</v>
      </c>
      <c r="E13" s="329" t="s">
        <v>13</v>
      </c>
      <c r="G13" s="325" t="s">
        <v>34</v>
      </c>
      <c r="H13" s="325" t="s">
        <v>35</v>
      </c>
      <c r="I13" s="325" t="s">
        <v>8</v>
      </c>
      <c r="J13" s="327">
        <v>499.69451924451533</v>
      </c>
      <c r="K13" s="327"/>
      <c r="L13" s="325">
        <v>3</v>
      </c>
    </row>
    <row r="14" spans="1:13" hidden="1">
      <c r="A14" s="331">
        <v>110100</v>
      </c>
      <c r="B14" s="325" t="s">
        <v>33</v>
      </c>
      <c r="C14" s="329" t="s">
        <v>32</v>
      </c>
      <c r="D14" s="329" t="s">
        <v>12</v>
      </c>
      <c r="E14" s="329" t="s">
        <v>13</v>
      </c>
      <c r="G14" s="325" t="s">
        <v>34</v>
      </c>
      <c r="H14" s="325" t="s">
        <v>35</v>
      </c>
      <c r="I14" s="325" t="s">
        <v>9</v>
      </c>
      <c r="J14" s="327">
        <v>687.14431474489959</v>
      </c>
      <c r="K14" s="327"/>
      <c r="L14" s="325">
        <v>2</v>
      </c>
    </row>
    <row r="15" spans="1:13" hidden="1">
      <c r="A15" s="331">
        <v>110100</v>
      </c>
      <c r="B15" s="325" t="s">
        <v>33</v>
      </c>
      <c r="C15" s="329" t="s">
        <v>32</v>
      </c>
      <c r="D15" s="329" t="s">
        <v>12</v>
      </c>
      <c r="E15" s="329" t="s">
        <v>13</v>
      </c>
      <c r="G15" s="325" t="s">
        <v>34</v>
      </c>
      <c r="H15" s="325" t="s">
        <v>35</v>
      </c>
      <c r="I15" s="325" t="s">
        <v>10</v>
      </c>
      <c r="J15" s="327">
        <v>140.58734662528809</v>
      </c>
      <c r="K15" s="327"/>
      <c r="L15" s="325">
        <v>0.5</v>
      </c>
    </row>
    <row r="16" spans="1:13" hidden="1">
      <c r="A16" s="331">
        <v>110110</v>
      </c>
      <c r="B16" s="325" t="s">
        <v>36</v>
      </c>
      <c r="C16" s="329" t="s">
        <v>32</v>
      </c>
      <c r="D16" s="329" t="s">
        <v>12</v>
      </c>
      <c r="E16" s="329" t="s">
        <v>13</v>
      </c>
    </row>
    <row r="17" spans="1:9" hidden="1">
      <c r="A17" s="331">
        <v>110120</v>
      </c>
      <c r="B17" s="325" t="s">
        <v>37</v>
      </c>
      <c r="C17" s="329" t="s">
        <v>32</v>
      </c>
      <c r="D17" s="329" t="s">
        <v>12</v>
      </c>
      <c r="E17" s="329" t="s">
        <v>13</v>
      </c>
    </row>
    <row r="18" spans="1:9" hidden="1">
      <c r="A18" s="331">
        <v>110130</v>
      </c>
      <c r="B18" s="325" t="s">
        <v>38</v>
      </c>
      <c r="C18" s="329" t="s">
        <v>32</v>
      </c>
      <c r="D18" s="329" t="s">
        <v>12</v>
      </c>
      <c r="E18" s="329" t="s">
        <v>13</v>
      </c>
    </row>
    <row r="19" spans="1:9" hidden="1">
      <c r="A19" s="331">
        <v>110140</v>
      </c>
      <c r="B19" s="325" t="s">
        <v>39</v>
      </c>
      <c r="C19" s="329" t="s">
        <v>32</v>
      </c>
      <c r="D19" s="329" t="s">
        <v>12</v>
      </c>
      <c r="E19" s="329" t="s">
        <v>13</v>
      </c>
    </row>
    <row r="20" spans="1:9" hidden="1">
      <c r="A20" s="331">
        <v>110150</v>
      </c>
      <c r="B20" s="325" t="s">
        <v>40</v>
      </c>
      <c r="C20" s="329" t="s">
        <v>32</v>
      </c>
      <c r="D20" s="329" t="s">
        <v>12</v>
      </c>
      <c r="E20" s="329" t="s">
        <v>13</v>
      </c>
    </row>
    <row r="21" spans="1:9" hidden="1">
      <c r="A21" s="331">
        <v>110160</v>
      </c>
      <c r="B21" s="325" t="s">
        <v>41</v>
      </c>
      <c r="C21" s="329" t="s">
        <v>32</v>
      </c>
      <c r="D21" s="329" t="s">
        <v>12</v>
      </c>
      <c r="E21" s="329" t="s">
        <v>13</v>
      </c>
    </row>
    <row r="22" spans="1:9" hidden="1">
      <c r="A22" s="331">
        <v>110170</v>
      </c>
      <c r="B22" s="325" t="s">
        <v>42</v>
      </c>
      <c r="C22" s="329" t="s">
        <v>32</v>
      </c>
      <c r="D22" s="329" t="s">
        <v>12</v>
      </c>
      <c r="E22" s="329" t="s">
        <v>13</v>
      </c>
    </row>
    <row r="23" spans="1:9" hidden="1">
      <c r="A23" s="331">
        <v>110180</v>
      </c>
      <c r="B23" s="325" t="s">
        <v>43</v>
      </c>
      <c r="C23" s="329" t="s">
        <v>32</v>
      </c>
      <c r="D23" s="329" t="s">
        <v>12</v>
      </c>
      <c r="E23" s="329" t="s">
        <v>13</v>
      </c>
    </row>
    <row r="24" spans="1:9" hidden="1">
      <c r="A24" s="331">
        <v>110190</v>
      </c>
      <c r="B24" s="325" t="s">
        <v>44</v>
      </c>
      <c r="C24" s="329" t="s">
        <v>32</v>
      </c>
      <c r="D24" s="329" t="s">
        <v>12</v>
      </c>
      <c r="E24" s="329" t="s">
        <v>13</v>
      </c>
    </row>
    <row r="25" spans="1:9" hidden="1">
      <c r="A25" s="331">
        <v>110200</v>
      </c>
      <c r="B25" s="325" t="s">
        <v>45</v>
      </c>
      <c r="C25" s="329" t="s">
        <v>32</v>
      </c>
      <c r="D25" s="329" t="s">
        <v>12</v>
      </c>
      <c r="E25" s="329" t="s">
        <v>13</v>
      </c>
      <c r="F25" s="331">
        <v>110200</v>
      </c>
      <c r="G25" s="325" t="s">
        <v>46</v>
      </c>
      <c r="H25" s="325" t="s">
        <v>47</v>
      </c>
      <c r="I25" s="325" t="s">
        <v>6</v>
      </c>
    </row>
    <row r="26" spans="1:9" hidden="1">
      <c r="A26" s="331">
        <v>110300</v>
      </c>
      <c r="B26" s="325" t="s">
        <v>48</v>
      </c>
      <c r="C26" s="329" t="s">
        <v>32</v>
      </c>
      <c r="D26" s="329" t="s">
        <v>12</v>
      </c>
      <c r="E26" s="329" t="s">
        <v>13</v>
      </c>
      <c r="G26" s="325" t="s">
        <v>49</v>
      </c>
      <c r="H26" s="325" t="s">
        <v>50</v>
      </c>
    </row>
    <row r="27" spans="1:9" hidden="1">
      <c r="A27" s="331">
        <v>110400</v>
      </c>
      <c r="B27" s="325" t="s">
        <v>51</v>
      </c>
      <c r="C27" s="329" t="s">
        <v>32</v>
      </c>
      <c r="D27" s="329" t="s">
        <v>12</v>
      </c>
      <c r="E27" s="329" t="s">
        <v>13</v>
      </c>
      <c r="G27" s="325" t="s">
        <v>52</v>
      </c>
      <c r="H27" s="325" t="s">
        <v>35</v>
      </c>
    </row>
    <row r="28" spans="1:9" hidden="1">
      <c r="A28" s="331">
        <v>110500</v>
      </c>
      <c r="B28" s="325" t="s">
        <v>53</v>
      </c>
      <c r="C28" s="329" t="s">
        <v>32</v>
      </c>
      <c r="D28" s="329" t="s">
        <v>12</v>
      </c>
      <c r="E28" s="329" t="s">
        <v>13</v>
      </c>
      <c r="G28" s="325" t="s">
        <v>54</v>
      </c>
      <c r="H28" s="325" t="s">
        <v>35</v>
      </c>
    </row>
    <row r="29" spans="1:9" hidden="1">
      <c r="A29" s="331">
        <v>110600</v>
      </c>
      <c r="B29" s="331" t="s">
        <v>55</v>
      </c>
      <c r="C29" s="329" t="s">
        <v>32</v>
      </c>
      <c r="D29" s="329" t="s">
        <v>12</v>
      </c>
      <c r="E29" s="329" t="s">
        <v>13</v>
      </c>
      <c r="G29" s="325" t="s">
        <v>56</v>
      </c>
      <c r="H29" s="325" t="s">
        <v>35</v>
      </c>
    </row>
    <row r="30" spans="1:9" hidden="1">
      <c r="A30" s="331">
        <v>110700</v>
      </c>
      <c r="B30" s="325" t="s">
        <v>57</v>
      </c>
      <c r="C30" s="329" t="s">
        <v>32</v>
      </c>
      <c r="D30" s="329" t="s">
        <v>12</v>
      </c>
      <c r="E30" s="329" t="s">
        <v>13</v>
      </c>
      <c r="G30" s="325" t="s">
        <v>58</v>
      </c>
      <c r="H30" s="325" t="s">
        <v>35</v>
      </c>
    </row>
    <row r="31" spans="1:9" hidden="1">
      <c r="A31" s="331">
        <v>110800</v>
      </c>
      <c r="B31" s="325" t="s">
        <v>59</v>
      </c>
      <c r="C31" s="329" t="s">
        <v>32</v>
      </c>
      <c r="D31" s="329" t="s">
        <v>12</v>
      </c>
      <c r="E31" s="329" t="s">
        <v>13</v>
      </c>
      <c r="G31" s="325" t="s">
        <v>60</v>
      </c>
      <c r="H31" s="325" t="s">
        <v>35</v>
      </c>
    </row>
    <row r="32" spans="1:9" s="329" customFormat="1" hidden="1">
      <c r="A32" s="330">
        <v>120000</v>
      </c>
      <c r="B32" s="329" t="s">
        <v>61</v>
      </c>
      <c r="C32" s="325" t="s">
        <v>62</v>
      </c>
      <c r="D32" s="329" t="s">
        <v>14</v>
      </c>
      <c r="E32" s="329" t="s">
        <v>13</v>
      </c>
      <c r="G32" s="325"/>
      <c r="H32" s="325"/>
      <c r="I32" s="325"/>
    </row>
    <row r="33" spans="1:12" hidden="1">
      <c r="A33" s="331">
        <v>120100</v>
      </c>
      <c r="B33" s="325" t="s">
        <v>63</v>
      </c>
      <c r="C33" s="325" t="s">
        <v>62</v>
      </c>
      <c r="D33" s="329" t="s">
        <v>14</v>
      </c>
      <c r="E33" s="329" t="s">
        <v>13</v>
      </c>
      <c r="G33" s="325" t="s">
        <v>34</v>
      </c>
      <c r="H33" s="325" t="s">
        <v>35</v>
      </c>
      <c r="I33" s="325" t="s">
        <v>6</v>
      </c>
      <c r="J33" s="327">
        <v>83.282419874085889</v>
      </c>
      <c r="K33" s="327"/>
      <c r="L33" s="325">
        <v>0.7</v>
      </c>
    </row>
    <row r="34" spans="1:12">
      <c r="A34" s="331">
        <v>120100</v>
      </c>
      <c r="B34" s="325" t="s">
        <v>63</v>
      </c>
      <c r="C34" s="325" t="s">
        <v>62</v>
      </c>
      <c r="D34" s="329" t="s">
        <v>14</v>
      </c>
      <c r="E34" s="329" t="s">
        <v>13</v>
      </c>
      <c r="G34" s="325" t="s">
        <v>34</v>
      </c>
      <c r="H34" s="325" t="s">
        <v>35</v>
      </c>
      <c r="I34" s="325" t="s">
        <v>7</v>
      </c>
      <c r="J34" s="327">
        <v>166.56483974817178</v>
      </c>
      <c r="K34" s="327"/>
      <c r="L34" s="325">
        <v>0.7</v>
      </c>
    </row>
    <row r="35" spans="1:12" hidden="1">
      <c r="A35" s="331">
        <v>120100</v>
      </c>
      <c r="B35" s="325" t="s">
        <v>63</v>
      </c>
      <c r="C35" s="325" t="s">
        <v>62</v>
      </c>
      <c r="D35" s="329" t="s">
        <v>14</v>
      </c>
      <c r="E35" s="329" t="s">
        <v>13</v>
      </c>
      <c r="G35" s="325" t="s">
        <v>34</v>
      </c>
      <c r="H35" s="325" t="s">
        <v>35</v>
      </c>
      <c r="I35" s="325" t="s">
        <v>8</v>
      </c>
      <c r="J35" s="327">
        <v>166.56483974817178</v>
      </c>
      <c r="K35" s="327"/>
      <c r="L35" s="325">
        <v>1</v>
      </c>
    </row>
    <row r="36" spans="1:12" hidden="1">
      <c r="A36" s="331">
        <v>120100</v>
      </c>
      <c r="B36" s="325" t="s">
        <v>63</v>
      </c>
      <c r="C36" s="325" t="s">
        <v>62</v>
      </c>
      <c r="D36" s="329" t="s">
        <v>14</v>
      </c>
      <c r="E36" s="329" t="s">
        <v>13</v>
      </c>
      <c r="G36" s="325" t="s">
        <v>34</v>
      </c>
      <c r="H36" s="325" t="s">
        <v>35</v>
      </c>
      <c r="I36" s="325" t="s">
        <v>9</v>
      </c>
      <c r="J36" s="327">
        <v>333.12967949634361</v>
      </c>
      <c r="K36" s="327"/>
      <c r="L36" s="325">
        <v>1</v>
      </c>
    </row>
    <row r="37" spans="1:12" hidden="1">
      <c r="A37" s="331">
        <v>120100</v>
      </c>
      <c r="B37" s="325" t="s">
        <v>63</v>
      </c>
      <c r="C37" s="325" t="s">
        <v>62</v>
      </c>
      <c r="D37" s="329" t="s">
        <v>14</v>
      </c>
      <c r="E37" s="329" t="s">
        <v>13</v>
      </c>
      <c r="G37" s="325" t="s">
        <v>34</v>
      </c>
      <c r="H37" s="325" t="s">
        <v>35</v>
      </c>
      <c r="I37" s="325" t="s">
        <v>10</v>
      </c>
      <c r="J37" s="327">
        <v>0</v>
      </c>
      <c r="K37" s="327"/>
      <c r="L37" s="325">
        <v>0</v>
      </c>
    </row>
    <row r="38" spans="1:12" hidden="1">
      <c r="A38" s="331">
        <v>120110</v>
      </c>
      <c r="B38" s="325" t="s">
        <v>64</v>
      </c>
      <c r="C38" s="325" t="s">
        <v>62</v>
      </c>
      <c r="D38" s="329" t="s">
        <v>14</v>
      </c>
      <c r="E38" s="329" t="s">
        <v>13</v>
      </c>
    </row>
    <row r="39" spans="1:12" s="331" customFormat="1" hidden="1">
      <c r="A39" s="331">
        <v>120111</v>
      </c>
      <c r="B39" s="331" t="s">
        <v>65</v>
      </c>
      <c r="C39" s="325" t="s">
        <v>62</v>
      </c>
      <c r="D39" s="329" t="s">
        <v>14</v>
      </c>
      <c r="E39" s="329" t="s">
        <v>13</v>
      </c>
      <c r="G39" s="331" t="s">
        <v>58</v>
      </c>
      <c r="H39" s="331" t="s">
        <v>35</v>
      </c>
    </row>
    <row r="40" spans="1:12" hidden="1">
      <c r="A40" s="331">
        <v>120120</v>
      </c>
      <c r="B40" s="325" t="s">
        <v>66</v>
      </c>
      <c r="C40" s="325" t="s">
        <v>62</v>
      </c>
      <c r="D40" s="329" t="s">
        <v>14</v>
      </c>
      <c r="E40" s="329" t="s">
        <v>13</v>
      </c>
    </row>
    <row r="41" spans="1:12" hidden="1">
      <c r="A41" s="331">
        <v>120130</v>
      </c>
      <c r="B41" s="325" t="s">
        <v>67</v>
      </c>
      <c r="C41" s="325" t="s">
        <v>62</v>
      </c>
      <c r="D41" s="329" t="s">
        <v>14</v>
      </c>
      <c r="E41" s="329" t="s">
        <v>13</v>
      </c>
    </row>
    <row r="42" spans="1:12" hidden="1">
      <c r="A42" s="331">
        <v>120140</v>
      </c>
      <c r="B42" s="325" t="s">
        <v>68</v>
      </c>
      <c r="C42" s="325" t="s">
        <v>62</v>
      </c>
      <c r="D42" s="329" t="s">
        <v>14</v>
      </c>
      <c r="E42" s="329" t="s">
        <v>13</v>
      </c>
    </row>
    <row r="43" spans="1:12" hidden="1">
      <c r="A43" s="331">
        <v>120150</v>
      </c>
      <c r="B43" s="325" t="s">
        <v>69</v>
      </c>
      <c r="C43" s="325" t="s">
        <v>62</v>
      </c>
      <c r="D43" s="329" t="s">
        <v>14</v>
      </c>
      <c r="E43" s="329" t="s">
        <v>13</v>
      </c>
    </row>
    <row r="44" spans="1:12" hidden="1">
      <c r="A44" s="331">
        <v>120160</v>
      </c>
      <c r="B44" s="325" t="s">
        <v>70</v>
      </c>
      <c r="C44" s="325" t="s">
        <v>62</v>
      </c>
      <c r="D44" s="329" t="s">
        <v>14</v>
      </c>
      <c r="E44" s="329" t="s">
        <v>13</v>
      </c>
    </row>
    <row r="45" spans="1:12" hidden="1">
      <c r="A45" s="331">
        <v>120170</v>
      </c>
      <c r="B45" s="325" t="s">
        <v>71</v>
      </c>
      <c r="C45" s="325" t="s">
        <v>62</v>
      </c>
      <c r="D45" s="329" t="s">
        <v>14</v>
      </c>
      <c r="E45" s="329" t="s">
        <v>13</v>
      </c>
    </row>
    <row r="46" spans="1:12" hidden="1">
      <c r="A46" s="331">
        <v>120180</v>
      </c>
      <c r="B46" s="325" t="s">
        <v>72</v>
      </c>
      <c r="C46" s="325" t="s">
        <v>62</v>
      </c>
      <c r="D46" s="329" t="s">
        <v>14</v>
      </c>
      <c r="E46" s="329" t="s">
        <v>13</v>
      </c>
      <c r="G46" s="325" t="s">
        <v>34</v>
      </c>
      <c r="H46" s="325" t="s">
        <v>35</v>
      </c>
    </row>
    <row r="47" spans="1:12" hidden="1">
      <c r="A47" s="331">
        <v>120190</v>
      </c>
      <c r="B47" s="325" t="s">
        <v>73</v>
      </c>
      <c r="C47" s="325" t="s">
        <v>62</v>
      </c>
      <c r="D47" s="329" t="s">
        <v>14</v>
      </c>
      <c r="E47" s="329" t="s">
        <v>13</v>
      </c>
    </row>
    <row r="48" spans="1:12" hidden="1">
      <c r="A48" s="331">
        <v>120200</v>
      </c>
      <c r="B48" s="325" t="s">
        <v>74</v>
      </c>
      <c r="C48" s="325" t="s">
        <v>62</v>
      </c>
      <c r="D48" s="329" t="s">
        <v>14</v>
      </c>
      <c r="E48" s="329" t="s">
        <v>13</v>
      </c>
      <c r="G48" s="325" t="s">
        <v>34</v>
      </c>
      <c r="H48" s="325" t="s">
        <v>35</v>
      </c>
      <c r="I48" s="325" t="s">
        <v>6</v>
      </c>
      <c r="J48" s="327">
        <v>78.061180936032798</v>
      </c>
      <c r="K48" s="327"/>
      <c r="L48" s="325">
        <v>0.7</v>
      </c>
    </row>
    <row r="49" spans="1:12">
      <c r="A49" s="331">
        <v>120200</v>
      </c>
      <c r="B49" s="325" t="s">
        <v>74</v>
      </c>
      <c r="C49" s="325" t="s">
        <v>62</v>
      </c>
      <c r="D49" s="329" t="s">
        <v>14</v>
      </c>
      <c r="E49" s="329" t="s">
        <v>13</v>
      </c>
      <c r="G49" s="325" t="s">
        <v>34</v>
      </c>
      <c r="H49" s="325" t="s">
        <v>35</v>
      </c>
      <c r="I49" s="325" t="s">
        <v>7</v>
      </c>
      <c r="J49" s="327">
        <v>156.1223618720656</v>
      </c>
      <c r="K49" s="327"/>
      <c r="L49" s="325">
        <v>0.7</v>
      </c>
    </row>
    <row r="50" spans="1:12" hidden="1">
      <c r="A50" s="331">
        <v>120200</v>
      </c>
      <c r="B50" s="325" t="s">
        <v>74</v>
      </c>
      <c r="C50" s="325" t="s">
        <v>62</v>
      </c>
      <c r="D50" s="329" t="s">
        <v>14</v>
      </c>
      <c r="E50" s="329" t="s">
        <v>13</v>
      </c>
      <c r="G50" s="325" t="s">
        <v>34</v>
      </c>
      <c r="H50" s="325" t="s">
        <v>35</v>
      </c>
      <c r="I50" s="325" t="s">
        <v>8</v>
      </c>
      <c r="J50" s="327">
        <v>156.1223618720656</v>
      </c>
      <c r="K50" s="327"/>
      <c r="L50" s="325">
        <v>1</v>
      </c>
    </row>
    <row r="51" spans="1:12" hidden="1">
      <c r="A51" s="331">
        <v>120200</v>
      </c>
      <c r="B51" s="325" t="s">
        <v>74</v>
      </c>
      <c r="C51" s="325" t="s">
        <v>62</v>
      </c>
      <c r="D51" s="329" t="s">
        <v>14</v>
      </c>
      <c r="E51" s="329" t="s">
        <v>13</v>
      </c>
      <c r="G51" s="325" t="s">
        <v>34</v>
      </c>
      <c r="H51" s="325" t="s">
        <v>35</v>
      </c>
      <c r="I51" s="325" t="s">
        <v>9</v>
      </c>
      <c r="J51" s="327">
        <v>312.24472374413114</v>
      </c>
      <c r="K51" s="327"/>
      <c r="L51" s="325">
        <v>1</v>
      </c>
    </row>
    <row r="52" spans="1:12" hidden="1">
      <c r="A52" s="331">
        <v>120200</v>
      </c>
      <c r="B52" s="325" t="s">
        <v>74</v>
      </c>
      <c r="C52" s="325" t="s">
        <v>62</v>
      </c>
      <c r="D52" s="329" t="s">
        <v>14</v>
      </c>
      <c r="E52" s="329" t="s">
        <v>13</v>
      </c>
      <c r="G52" s="325" t="s">
        <v>34</v>
      </c>
      <c r="H52" s="325" t="s">
        <v>35</v>
      </c>
      <c r="I52" s="325" t="s">
        <v>10</v>
      </c>
      <c r="J52" s="327">
        <v>93.673417123239375</v>
      </c>
      <c r="K52" s="327"/>
      <c r="L52" s="325">
        <v>0.4</v>
      </c>
    </row>
    <row r="53" spans="1:12" s="329" customFormat="1" hidden="1">
      <c r="A53" s="330">
        <v>130000</v>
      </c>
      <c r="B53" s="329" t="s">
        <v>75</v>
      </c>
      <c r="C53" s="325" t="s">
        <v>76</v>
      </c>
      <c r="D53" s="329" t="s">
        <v>12</v>
      </c>
      <c r="E53" s="329" t="s">
        <v>13</v>
      </c>
      <c r="G53" s="325"/>
      <c r="H53" s="325"/>
      <c r="I53" s="325"/>
    </row>
    <row r="54" spans="1:12" hidden="1">
      <c r="A54" s="325">
        <v>130100</v>
      </c>
      <c r="B54" s="325" t="s">
        <v>77</v>
      </c>
      <c r="C54" s="325" t="s">
        <v>76</v>
      </c>
      <c r="D54" s="329" t="s">
        <v>12</v>
      </c>
      <c r="E54" s="329" t="s">
        <v>13</v>
      </c>
      <c r="G54" s="325" t="s">
        <v>34</v>
      </c>
      <c r="H54" s="325" t="s">
        <v>35</v>
      </c>
      <c r="I54" s="325" t="s">
        <v>6</v>
      </c>
      <c r="J54" s="327">
        <v>39.030590468016399</v>
      </c>
      <c r="K54" s="327"/>
      <c r="L54" s="325">
        <v>0.3</v>
      </c>
    </row>
    <row r="55" spans="1:12">
      <c r="A55" s="325">
        <v>130100</v>
      </c>
      <c r="B55" s="325" t="s">
        <v>77</v>
      </c>
      <c r="C55" s="325" t="s">
        <v>76</v>
      </c>
      <c r="D55" s="329" t="s">
        <v>12</v>
      </c>
      <c r="E55" s="329" t="s">
        <v>13</v>
      </c>
      <c r="G55" s="325" t="s">
        <v>34</v>
      </c>
      <c r="H55" s="325" t="s">
        <v>35</v>
      </c>
      <c r="I55" s="325" t="s">
        <v>7</v>
      </c>
      <c r="J55" s="327">
        <v>156.1223618720656</v>
      </c>
      <c r="K55" s="327"/>
      <c r="L55" s="325">
        <v>0.7</v>
      </c>
    </row>
    <row r="56" spans="1:12" hidden="1">
      <c r="A56" s="325">
        <v>130100</v>
      </c>
      <c r="B56" s="325" t="s">
        <v>77</v>
      </c>
      <c r="C56" s="325" t="s">
        <v>76</v>
      </c>
      <c r="D56" s="329" t="s">
        <v>12</v>
      </c>
      <c r="E56" s="329" t="s">
        <v>13</v>
      </c>
      <c r="G56" s="325" t="s">
        <v>34</v>
      </c>
      <c r="H56" s="325" t="s">
        <v>35</v>
      </c>
      <c r="I56" s="325" t="s">
        <v>8</v>
      </c>
      <c r="J56" s="327">
        <v>312.24472374413119</v>
      </c>
      <c r="K56" s="327"/>
      <c r="L56" s="325">
        <v>2</v>
      </c>
    </row>
    <row r="57" spans="1:12" hidden="1">
      <c r="A57" s="325">
        <v>130100</v>
      </c>
      <c r="B57" s="325" t="s">
        <v>77</v>
      </c>
      <c r="C57" s="325" t="s">
        <v>76</v>
      </c>
      <c r="D57" s="329" t="s">
        <v>12</v>
      </c>
      <c r="E57" s="329" t="s">
        <v>13</v>
      </c>
      <c r="G57" s="325" t="s">
        <v>34</v>
      </c>
      <c r="H57" s="325" t="s">
        <v>35</v>
      </c>
      <c r="I57" s="325" t="s">
        <v>9</v>
      </c>
      <c r="J57" s="327">
        <v>624.48944748826227</v>
      </c>
      <c r="K57" s="327"/>
      <c r="L57" s="325">
        <v>2</v>
      </c>
    </row>
    <row r="58" spans="1:12" hidden="1">
      <c r="A58" s="325">
        <v>130100</v>
      </c>
      <c r="B58" s="325" t="s">
        <v>77</v>
      </c>
      <c r="C58" s="325" t="s">
        <v>76</v>
      </c>
      <c r="D58" s="329" t="s">
        <v>12</v>
      </c>
      <c r="E58" s="329" t="s">
        <v>13</v>
      </c>
      <c r="G58" s="325" t="s">
        <v>34</v>
      </c>
      <c r="H58" s="325" t="s">
        <v>35</v>
      </c>
      <c r="I58" s="325" t="s">
        <v>10</v>
      </c>
      <c r="J58" s="325">
        <v>0</v>
      </c>
      <c r="L58" s="325">
        <v>0</v>
      </c>
    </row>
    <row r="59" spans="1:12" hidden="1">
      <c r="A59" s="325">
        <v>130110</v>
      </c>
      <c r="B59" s="325" t="s">
        <v>78</v>
      </c>
      <c r="C59" s="325" t="s">
        <v>76</v>
      </c>
      <c r="D59" s="329" t="s">
        <v>12</v>
      </c>
      <c r="E59" s="329" t="s">
        <v>13</v>
      </c>
    </row>
    <row r="60" spans="1:12" hidden="1">
      <c r="A60" s="325">
        <v>130120</v>
      </c>
      <c r="B60" s="325" t="s">
        <v>79</v>
      </c>
      <c r="C60" s="325" t="s">
        <v>76</v>
      </c>
      <c r="D60" s="329" t="s">
        <v>12</v>
      </c>
      <c r="E60" s="329" t="s">
        <v>13</v>
      </c>
    </row>
    <row r="61" spans="1:12" hidden="1">
      <c r="A61" s="325">
        <v>130200</v>
      </c>
      <c r="B61" s="325" t="s">
        <v>80</v>
      </c>
      <c r="C61" s="325" t="s">
        <v>76</v>
      </c>
      <c r="D61" s="329" t="s">
        <v>12</v>
      </c>
      <c r="E61" s="329" t="s">
        <v>13</v>
      </c>
      <c r="G61" s="325" t="s">
        <v>46</v>
      </c>
      <c r="H61" s="325" t="s">
        <v>47</v>
      </c>
    </row>
    <row r="62" spans="1:12" hidden="1">
      <c r="A62" s="325">
        <v>130210</v>
      </c>
      <c r="B62" s="325" t="s">
        <v>78</v>
      </c>
      <c r="C62" s="325" t="s">
        <v>76</v>
      </c>
      <c r="D62" s="329" t="s">
        <v>12</v>
      </c>
      <c r="E62" s="329" t="s">
        <v>13</v>
      </c>
    </row>
    <row r="63" spans="1:12" hidden="1">
      <c r="A63" s="325">
        <v>130220</v>
      </c>
      <c r="B63" s="325" t="s">
        <v>79</v>
      </c>
      <c r="C63" s="325" t="s">
        <v>76</v>
      </c>
      <c r="D63" s="329" t="s">
        <v>12</v>
      </c>
      <c r="E63" s="329" t="s">
        <v>13</v>
      </c>
    </row>
    <row r="64" spans="1:12" hidden="1">
      <c r="A64" s="325">
        <v>130300</v>
      </c>
      <c r="B64" s="325" t="s">
        <v>81</v>
      </c>
      <c r="C64" s="325" t="s">
        <v>76</v>
      </c>
      <c r="D64" s="329" t="s">
        <v>12</v>
      </c>
      <c r="E64" s="329" t="s">
        <v>13</v>
      </c>
      <c r="G64" s="325" t="s">
        <v>49</v>
      </c>
      <c r="H64" s="325" t="s">
        <v>50</v>
      </c>
    </row>
    <row r="65" spans="1:12" hidden="1">
      <c r="A65" s="325">
        <v>130400</v>
      </c>
      <c r="B65" s="325" t="s">
        <v>82</v>
      </c>
      <c r="C65" s="325" t="s">
        <v>76</v>
      </c>
      <c r="D65" s="329" t="s">
        <v>12</v>
      </c>
      <c r="E65" s="329" t="s">
        <v>13</v>
      </c>
      <c r="G65" s="325" t="s">
        <v>52</v>
      </c>
      <c r="H65" s="325" t="s">
        <v>35</v>
      </c>
    </row>
    <row r="66" spans="1:12" hidden="1">
      <c r="A66" s="325">
        <v>130500</v>
      </c>
      <c r="B66" s="325" t="s">
        <v>83</v>
      </c>
      <c r="C66" s="325" t="s">
        <v>76</v>
      </c>
      <c r="D66" s="329" t="s">
        <v>12</v>
      </c>
      <c r="E66" s="329" t="s">
        <v>13</v>
      </c>
      <c r="G66" s="325" t="s">
        <v>54</v>
      </c>
      <c r="H66" s="325" t="s">
        <v>35</v>
      </c>
    </row>
    <row r="67" spans="1:12" hidden="1">
      <c r="A67" s="331">
        <v>130600</v>
      </c>
      <c r="B67" s="331" t="s">
        <v>84</v>
      </c>
      <c r="C67" s="325" t="s">
        <v>76</v>
      </c>
      <c r="D67" s="329" t="s">
        <v>12</v>
      </c>
      <c r="E67" s="329" t="s">
        <v>13</v>
      </c>
    </row>
    <row r="68" spans="1:12" s="329" customFormat="1" hidden="1">
      <c r="A68" s="330">
        <v>140000</v>
      </c>
      <c r="B68" s="329" t="s">
        <v>85</v>
      </c>
      <c r="C68" s="325" t="s">
        <v>62</v>
      </c>
      <c r="D68" s="329" t="s">
        <v>14</v>
      </c>
      <c r="E68" s="329" t="s">
        <v>13</v>
      </c>
      <c r="G68" s="325" t="s">
        <v>34</v>
      </c>
      <c r="H68" s="325" t="s">
        <v>35</v>
      </c>
      <c r="I68" s="325" t="s">
        <v>6</v>
      </c>
      <c r="J68" s="624">
        <v>39.030590468016399</v>
      </c>
      <c r="K68" s="624"/>
      <c r="L68" s="325">
        <v>0.3</v>
      </c>
    </row>
    <row r="69" spans="1:12" s="329" customFormat="1">
      <c r="A69" s="330">
        <v>140000</v>
      </c>
      <c r="B69" s="329" t="s">
        <v>85</v>
      </c>
      <c r="C69" s="325" t="s">
        <v>62</v>
      </c>
      <c r="D69" s="329" t="s">
        <v>14</v>
      </c>
      <c r="E69" s="329" t="s">
        <v>13</v>
      </c>
      <c r="G69" s="325" t="s">
        <v>34</v>
      </c>
      <c r="H69" s="325" t="s">
        <v>35</v>
      </c>
      <c r="I69" s="325" t="s">
        <v>7</v>
      </c>
      <c r="J69" s="624">
        <v>78.061180936032798</v>
      </c>
      <c r="K69" s="624"/>
      <c r="L69" s="325">
        <v>0.3</v>
      </c>
    </row>
    <row r="70" spans="1:12" s="329" customFormat="1" hidden="1">
      <c r="A70" s="330">
        <v>140000</v>
      </c>
      <c r="B70" s="329" t="s">
        <v>85</v>
      </c>
      <c r="C70" s="325" t="s">
        <v>62</v>
      </c>
      <c r="D70" s="329" t="s">
        <v>14</v>
      </c>
      <c r="E70" s="329" t="s">
        <v>13</v>
      </c>
      <c r="G70" s="325" t="s">
        <v>34</v>
      </c>
      <c r="H70" s="325" t="s">
        <v>35</v>
      </c>
      <c r="I70" s="325" t="s">
        <v>8</v>
      </c>
      <c r="J70" s="624">
        <v>78.061180936032798</v>
      </c>
      <c r="K70" s="624"/>
      <c r="L70" s="325">
        <v>0.5</v>
      </c>
    </row>
    <row r="71" spans="1:12" s="329" customFormat="1" hidden="1">
      <c r="A71" s="330">
        <v>140000</v>
      </c>
      <c r="B71" s="329" t="s">
        <v>85</v>
      </c>
      <c r="C71" s="325" t="s">
        <v>62</v>
      </c>
      <c r="D71" s="329" t="s">
        <v>14</v>
      </c>
      <c r="E71" s="329" t="s">
        <v>13</v>
      </c>
      <c r="G71" s="325" t="s">
        <v>34</v>
      </c>
      <c r="H71" s="325" t="s">
        <v>35</v>
      </c>
      <c r="I71" s="325" t="s">
        <v>9</v>
      </c>
      <c r="J71" s="624">
        <v>156.12236187206557</v>
      </c>
      <c r="K71" s="624"/>
      <c r="L71" s="325">
        <v>0.5</v>
      </c>
    </row>
    <row r="72" spans="1:12" hidden="1">
      <c r="A72" s="325">
        <v>140100</v>
      </c>
      <c r="B72" s="325" t="s">
        <v>86</v>
      </c>
      <c r="C72" s="325" t="s">
        <v>62</v>
      </c>
      <c r="D72" s="329" t="s">
        <v>14</v>
      </c>
      <c r="E72" s="329" t="s">
        <v>13</v>
      </c>
    </row>
    <row r="73" spans="1:12" hidden="1">
      <c r="A73" s="325">
        <v>140200</v>
      </c>
      <c r="B73" s="325" t="s">
        <v>87</v>
      </c>
      <c r="C73" s="325" t="s">
        <v>62</v>
      </c>
      <c r="D73" s="329" t="s">
        <v>14</v>
      </c>
      <c r="E73" s="329" t="s">
        <v>13</v>
      </c>
    </row>
    <row r="74" spans="1:12" hidden="1">
      <c r="A74" s="325">
        <v>140300</v>
      </c>
      <c r="B74" s="325" t="s">
        <v>88</v>
      </c>
      <c r="C74" s="325" t="s">
        <v>62</v>
      </c>
      <c r="D74" s="329" t="s">
        <v>14</v>
      </c>
      <c r="E74" s="329" t="s">
        <v>13</v>
      </c>
    </row>
    <row r="75" spans="1:12" hidden="1">
      <c r="A75" s="325">
        <v>140400</v>
      </c>
      <c r="B75" s="325" t="s">
        <v>89</v>
      </c>
      <c r="C75" s="325" t="s">
        <v>62</v>
      </c>
      <c r="D75" s="329" t="s">
        <v>14</v>
      </c>
      <c r="E75" s="329" t="s">
        <v>13</v>
      </c>
    </row>
    <row r="76" spans="1:12" s="331" customFormat="1" hidden="1">
      <c r="A76" s="331">
        <v>140410</v>
      </c>
      <c r="B76" s="331" t="s">
        <v>90</v>
      </c>
      <c r="C76" s="325" t="s">
        <v>62</v>
      </c>
      <c r="D76" s="329" t="s">
        <v>14</v>
      </c>
      <c r="E76" s="329" t="s">
        <v>13</v>
      </c>
      <c r="G76" s="331" t="s">
        <v>91</v>
      </c>
      <c r="H76" s="331" t="s">
        <v>35</v>
      </c>
    </row>
    <row r="77" spans="1:12" hidden="1">
      <c r="A77" s="325">
        <v>140420</v>
      </c>
      <c r="B77" s="325" t="s">
        <v>92</v>
      </c>
      <c r="C77" s="325" t="s">
        <v>62</v>
      </c>
      <c r="D77" s="329" t="s">
        <v>14</v>
      </c>
      <c r="E77" s="329" t="s">
        <v>13</v>
      </c>
      <c r="G77" s="325" t="s">
        <v>34</v>
      </c>
      <c r="H77" s="325" t="s">
        <v>35</v>
      </c>
    </row>
    <row r="78" spans="1:12" hidden="1">
      <c r="A78" s="343">
        <v>200000</v>
      </c>
      <c r="B78" s="337" t="s">
        <v>93</v>
      </c>
      <c r="C78" s="325" t="s">
        <v>62</v>
      </c>
      <c r="D78" s="329" t="s">
        <v>14</v>
      </c>
      <c r="E78" s="329" t="s">
        <v>13</v>
      </c>
    </row>
    <row r="79" spans="1:12" s="329" customFormat="1" hidden="1">
      <c r="A79" s="332">
        <v>210000</v>
      </c>
      <c r="B79" s="329" t="s">
        <v>94</v>
      </c>
      <c r="C79" s="325" t="s">
        <v>62</v>
      </c>
      <c r="D79" s="329" t="s">
        <v>14</v>
      </c>
      <c r="E79" s="329" t="s">
        <v>13</v>
      </c>
      <c r="G79" s="325" t="s">
        <v>34</v>
      </c>
      <c r="H79" s="325" t="s">
        <v>35</v>
      </c>
      <c r="I79" s="325" t="s">
        <v>6</v>
      </c>
      <c r="J79" s="624">
        <v>66.625935899268711</v>
      </c>
      <c r="K79" s="624"/>
      <c r="L79" s="625">
        <v>0.5</v>
      </c>
    </row>
    <row r="80" spans="1:12" s="329" customFormat="1">
      <c r="A80" s="332">
        <v>210000</v>
      </c>
      <c r="B80" s="329" t="s">
        <v>94</v>
      </c>
      <c r="C80" s="325" t="s">
        <v>62</v>
      </c>
      <c r="D80" s="329" t="s">
        <v>14</v>
      </c>
      <c r="E80" s="329" t="s">
        <v>13</v>
      </c>
      <c r="G80" s="325" t="s">
        <v>34</v>
      </c>
      <c r="H80" s="325" t="s">
        <v>35</v>
      </c>
      <c r="I80" s="325" t="s">
        <v>7</v>
      </c>
      <c r="J80" s="624">
        <v>133.25187179853742</v>
      </c>
      <c r="K80" s="624"/>
      <c r="L80" s="625">
        <v>0.5</v>
      </c>
    </row>
    <row r="81" spans="1:12" s="329" customFormat="1" hidden="1">
      <c r="A81" s="332">
        <v>210000</v>
      </c>
      <c r="B81" s="329" t="s">
        <v>94</v>
      </c>
      <c r="C81" s="325" t="s">
        <v>62</v>
      </c>
      <c r="D81" s="329" t="s">
        <v>14</v>
      </c>
      <c r="E81" s="329" t="s">
        <v>13</v>
      </c>
      <c r="G81" s="325" t="s">
        <v>34</v>
      </c>
      <c r="H81" s="325" t="s">
        <v>35</v>
      </c>
      <c r="I81" s="325" t="s">
        <v>8</v>
      </c>
      <c r="J81" s="624">
        <v>133.25187179853742</v>
      </c>
      <c r="K81" s="624"/>
      <c r="L81" s="625">
        <v>0.8</v>
      </c>
    </row>
    <row r="82" spans="1:12" s="329" customFormat="1" hidden="1">
      <c r="A82" s="332">
        <v>210000</v>
      </c>
      <c r="B82" s="329" t="s">
        <v>94</v>
      </c>
      <c r="C82" s="325" t="s">
        <v>62</v>
      </c>
      <c r="D82" s="329" t="s">
        <v>14</v>
      </c>
      <c r="E82" s="329" t="s">
        <v>13</v>
      </c>
      <c r="G82" s="325" t="s">
        <v>34</v>
      </c>
      <c r="H82" s="325" t="s">
        <v>35</v>
      </c>
      <c r="I82" s="325" t="s">
        <v>9</v>
      </c>
      <c r="J82" s="624">
        <v>166.56483974817181</v>
      </c>
      <c r="K82" s="624"/>
      <c r="L82" s="625">
        <v>0.5</v>
      </c>
    </row>
    <row r="83" spans="1:12" hidden="1">
      <c r="A83" s="331">
        <v>210100</v>
      </c>
      <c r="B83" s="325" t="s">
        <v>95</v>
      </c>
      <c r="C83" s="325" t="s">
        <v>62</v>
      </c>
      <c r="D83" s="329" t="s">
        <v>14</v>
      </c>
      <c r="E83" s="329" t="s">
        <v>13</v>
      </c>
      <c r="F83" s="335"/>
      <c r="G83" s="325" t="s">
        <v>34</v>
      </c>
      <c r="H83" s="325" t="s">
        <v>35</v>
      </c>
      <c r="J83" s="625"/>
      <c r="K83" s="625"/>
      <c r="L83" s="625"/>
    </row>
    <row r="84" spans="1:12" hidden="1">
      <c r="A84" s="331">
        <v>210200</v>
      </c>
      <c r="B84" s="325" t="s">
        <v>96</v>
      </c>
      <c r="C84" s="325" t="s">
        <v>62</v>
      </c>
      <c r="D84" s="329" t="s">
        <v>14</v>
      </c>
      <c r="E84" s="329" t="s">
        <v>13</v>
      </c>
      <c r="F84" s="335"/>
      <c r="G84" s="325" t="s">
        <v>34</v>
      </c>
      <c r="H84" s="325" t="s">
        <v>35</v>
      </c>
      <c r="J84" s="625"/>
      <c r="K84" s="625"/>
      <c r="L84" s="625"/>
    </row>
    <row r="85" spans="1:12" s="331" customFormat="1" hidden="1">
      <c r="A85" s="331">
        <v>210300</v>
      </c>
      <c r="B85" s="331" t="s">
        <v>97</v>
      </c>
      <c r="C85" s="325" t="s">
        <v>62</v>
      </c>
      <c r="D85" s="329" t="s">
        <v>14</v>
      </c>
      <c r="E85" s="329" t="s">
        <v>13</v>
      </c>
      <c r="F85" s="334"/>
      <c r="G85" s="331" t="s">
        <v>46</v>
      </c>
      <c r="H85" s="331" t="s">
        <v>47</v>
      </c>
    </row>
    <row r="86" spans="1:12" hidden="1">
      <c r="A86" s="331">
        <v>210400</v>
      </c>
      <c r="B86" s="325" t="s">
        <v>98</v>
      </c>
      <c r="C86" s="325" t="s">
        <v>62</v>
      </c>
      <c r="D86" s="329" t="s">
        <v>14</v>
      </c>
      <c r="E86" s="329" t="s">
        <v>13</v>
      </c>
      <c r="F86" s="335"/>
      <c r="G86" s="325" t="s">
        <v>34</v>
      </c>
      <c r="H86" s="325" t="s">
        <v>35</v>
      </c>
      <c r="J86" s="625"/>
      <c r="K86" s="625"/>
      <c r="L86" s="625"/>
    </row>
    <row r="87" spans="1:12" s="329" customFormat="1" hidden="1">
      <c r="A87" s="329">
        <v>220000</v>
      </c>
      <c r="B87" s="329" t="s">
        <v>99</v>
      </c>
      <c r="C87" s="325" t="s">
        <v>62</v>
      </c>
      <c r="D87" s="329" t="s">
        <v>14</v>
      </c>
      <c r="E87" s="329" t="s">
        <v>13</v>
      </c>
      <c r="F87" s="336"/>
      <c r="G87" s="325" t="s">
        <v>34</v>
      </c>
      <c r="H87" s="325" t="s">
        <v>35</v>
      </c>
      <c r="I87" s="325" t="s">
        <v>6</v>
      </c>
      <c r="J87" s="624">
        <v>15.612236187206561</v>
      </c>
      <c r="K87" s="624"/>
      <c r="L87" s="625">
        <v>0.1</v>
      </c>
    </row>
    <row r="88" spans="1:12" s="329" customFormat="1">
      <c r="A88" s="329">
        <v>220000</v>
      </c>
      <c r="B88" s="329" t="s">
        <v>99</v>
      </c>
      <c r="C88" s="325" t="s">
        <v>62</v>
      </c>
      <c r="D88" s="329" t="s">
        <v>14</v>
      </c>
      <c r="E88" s="329" t="s">
        <v>13</v>
      </c>
      <c r="F88" s="336"/>
      <c r="G88" s="325" t="s">
        <v>34</v>
      </c>
      <c r="H88" s="325" t="s">
        <v>35</v>
      </c>
      <c r="I88" s="325" t="s">
        <v>7</v>
      </c>
      <c r="J88" s="624">
        <v>31.224472374413125</v>
      </c>
      <c r="K88" s="624"/>
      <c r="L88" s="625">
        <v>0.1</v>
      </c>
    </row>
    <row r="89" spans="1:12" s="329" customFormat="1" hidden="1">
      <c r="A89" s="329">
        <v>220000</v>
      </c>
      <c r="B89" s="329" t="s">
        <v>99</v>
      </c>
      <c r="C89" s="325" t="s">
        <v>62</v>
      </c>
      <c r="D89" s="329" t="s">
        <v>14</v>
      </c>
      <c r="E89" s="329" t="s">
        <v>13</v>
      </c>
      <c r="F89" s="336"/>
      <c r="G89" s="325" t="s">
        <v>34</v>
      </c>
      <c r="H89" s="325" t="s">
        <v>35</v>
      </c>
      <c r="I89" s="325" t="s">
        <v>8</v>
      </c>
      <c r="J89" s="624">
        <v>31.224472374413118</v>
      </c>
      <c r="K89" s="624"/>
      <c r="L89" s="625">
        <v>0.2</v>
      </c>
    </row>
    <row r="90" spans="1:12" hidden="1">
      <c r="A90" s="331">
        <v>220100</v>
      </c>
      <c r="B90" s="325" t="s">
        <v>100</v>
      </c>
      <c r="C90" s="325" t="s">
        <v>62</v>
      </c>
      <c r="D90" s="329" t="s">
        <v>14</v>
      </c>
      <c r="E90" s="329" t="s">
        <v>13</v>
      </c>
      <c r="F90" s="335"/>
      <c r="G90" s="325" t="s">
        <v>34</v>
      </c>
      <c r="H90" s="325" t="s">
        <v>35</v>
      </c>
    </row>
    <row r="91" spans="1:12" hidden="1">
      <c r="A91" s="331">
        <v>220200</v>
      </c>
      <c r="B91" s="325" t="s">
        <v>101</v>
      </c>
      <c r="C91" s="325" t="s">
        <v>62</v>
      </c>
      <c r="D91" s="329" t="s">
        <v>14</v>
      </c>
      <c r="E91" s="329" t="s">
        <v>13</v>
      </c>
      <c r="F91" s="335"/>
      <c r="G91" s="325" t="s">
        <v>34</v>
      </c>
      <c r="H91" s="325" t="s">
        <v>35</v>
      </c>
    </row>
    <row r="92" spans="1:12" hidden="1">
      <c r="A92" s="331">
        <v>220300</v>
      </c>
      <c r="B92" s="325" t="s">
        <v>102</v>
      </c>
      <c r="C92" s="325" t="s">
        <v>62</v>
      </c>
      <c r="D92" s="329" t="s">
        <v>14</v>
      </c>
      <c r="E92" s="329" t="s">
        <v>13</v>
      </c>
      <c r="F92" s="335"/>
      <c r="G92" s="325" t="s">
        <v>34</v>
      </c>
      <c r="H92" s="325" t="s">
        <v>35</v>
      </c>
    </row>
    <row r="93" spans="1:12" s="329" customFormat="1" hidden="1">
      <c r="A93" s="329">
        <v>230000</v>
      </c>
      <c r="B93" s="329" t="s">
        <v>103</v>
      </c>
      <c r="C93" s="325" t="s">
        <v>62</v>
      </c>
      <c r="D93" s="329" t="s">
        <v>14</v>
      </c>
      <c r="E93" s="329" t="s">
        <v>13</v>
      </c>
      <c r="F93" s="336"/>
      <c r="G93" s="325" t="s">
        <v>34</v>
      </c>
      <c r="H93" s="325" t="s">
        <v>35</v>
      </c>
      <c r="I93" s="325" t="s">
        <v>6</v>
      </c>
      <c r="J93" s="624">
        <v>41.641209937042944</v>
      </c>
      <c r="K93" s="624"/>
      <c r="L93" s="625">
        <v>0.3</v>
      </c>
    </row>
    <row r="94" spans="1:12" s="329" customFormat="1">
      <c r="A94" s="329">
        <v>230000</v>
      </c>
      <c r="B94" s="329" t="s">
        <v>103</v>
      </c>
      <c r="C94" s="325" t="s">
        <v>62</v>
      </c>
      <c r="D94" s="329" t="s">
        <v>14</v>
      </c>
      <c r="E94" s="329" t="s">
        <v>13</v>
      </c>
      <c r="F94" s="336"/>
      <c r="G94" s="325" t="s">
        <v>34</v>
      </c>
      <c r="H94" s="325" t="s">
        <v>35</v>
      </c>
      <c r="I94" s="325" t="s">
        <v>7</v>
      </c>
      <c r="J94" s="624">
        <v>166.56483974817178</v>
      </c>
      <c r="K94" s="624"/>
      <c r="L94" s="625">
        <v>0.7</v>
      </c>
    </row>
    <row r="95" spans="1:12" s="329" customFormat="1" hidden="1">
      <c r="A95" s="329">
        <v>230000</v>
      </c>
      <c r="B95" s="329" t="s">
        <v>103</v>
      </c>
      <c r="C95" s="325" t="s">
        <v>62</v>
      </c>
      <c r="D95" s="329" t="s">
        <v>14</v>
      </c>
      <c r="E95" s="329" t="s">
        <v>13</v>
      </c>
      <c r="F95" s="336"/>
      <c r="G95" s="325" t="s">
        <v>34</v>
      </c>
      <c r="H95" s="325" t="s">
        <v>35</v>
      </c>
      <c r="I95" s="325" t="s">
        <v>8</v>
      </c>
      <c r="J95" s="624">
        <v>166.56483974817178</v>
      </c>
      <c r="K95" s="624"/>
      <c r="L95" s="625">
        <v>1</v>
      </c>
    </row>
    <row r="96" spans="1:12" s="329" customFormat="1" hidden="1">
      <c r="A96" s="329">
        <v>230000</v>
      </c>
      <c r="B96" s="329" t="s">
        <v>103</v>
      </c>
      <c r="C96" s="325" t="s">
        <v>62</v>
      </c>
      <c r="D96" s="329" t="s">
        <v>14</v>
      </c>
      <c r="E96" s="329" t="s">
        <v>13</v>
      </c>
      <c r="F96" s="336"/>
      <c r="G96" s="325" t="s">
        <v>34</v>
      </c>
      <c r="H96" s="325" t="s">
        <v>35</v>
      </c>
      <c r="I96" s="325" t="s">
        <v>9</v>
      </c>
      <c r="J96" s="624">
        <v>333.12967949634361</v>
      </c>
      <c r="K96" s="624"/>
      <c r="L96" s="625">
        <v>1</v>
      </c>
    </row>
    <row r="97" spans="1:12" hidden="1">
      <c r="A97" s="331">
        <v>230100</v>
      </c>
      <c r="B97" s="325" t="s">
        <v>104</v>
      </c>
      <c r="C97" s="325" t="s">
        <v>62</v>
      </c>
      <c r="D97" s="329" t="s">
        <v>14</v>
      </c>
      <c r="E97" s="329" t="s">
        <v>13</v>
      </c>
      <c r="F97" s="335"/>
      <c r="G97" s="325" t="s">
        <v>34</v>
      </c>
      <c r="H97" s="325" t="s">
        <v>35</v>
      </c>
    </row>
    <row r="98" spans="1:12" hidden="1">
      <c r="A98" s="331">
        <v>230200</v>
      </c>
      <c r="B98" s="325" t="s">
        <v>105</v>
      </c>
      <c r="C98" s="325" t="s">
        <v>62</v>
      </c>
      <c r="D98" s="329" t="s">
        <v>14</v>
      </c>
      <c r="E98" s="329" t="s">
        <v>13</v>
      </c>
      <c r="F98" s="335"/>
      <c r="G98" s="325" t="s">
        <v>34</v>
      </c>
      <c r="H98" s="325" t="s">
        <v>35</v>
      </c>
    </row>
    <row r="99" spans="1:12" hidden="1">
      <c r="A99" s="331">
        <v>230300</v>
      </c>
      <c r="B99" s="325" t="s">
        <v>106</v>
      </c>
      <c r="C99" s="325" t="s">
        <v>62</v>
      </c>
      <c r="D99" s="329" t="s">
        <v>14</v>
      </c>
      <c r="E99" s="329" t="s">
        <v>13</v>
      </c>
      <c r="F99" s="335"/>
      <c r="G99" s="325" t="s">
        <v>34</v>
      </c>
      <c r="H99" s="325" t="s">
        <v>35</v>
      </c>
    </row>
    <row r="100" spans="1:12" hidden="1">
      <c r="A100" s="331">
        <v>230400</v>
      </c>
      <c r="B100" s="331" t="s">
        <v>107</v>
      </c>
      <c r="C100" s="325" t="s">
        <v>62</v>
      </c>
      <c r="D100" s="329" t="s">
        <v>14</v>
      </c>
      <c r="E100" s="329" t="s">
        <v>13</v>
      </c>
      <c r="F100" s="335"/>
      <c r="G100" s="325" t="s">
        <v>46</v>
      </c>
      <c r="H100" s="325" t="s">
        <v>47</v>
      </c>
    </row>
    <row r="101" spans="1:12" s="329" customFormat="1" hidden="1">
      <c r="A101" s="332">
        <v>240000</v>
      </c>
      <c r="B101" s="329" t="s">
        <v>108</v>
      </c>
      <c r="C101" s="325" t="s">
        <v>62</v>
      </c>
      <c r="D101" s="329" t="s">
        <v>14</v>
      </c>
      <c r="E101" s="329" t="s">
        <v>13</v>
      </c>
      <c r="G101" s="325" t="s">
        <v>34</v>
      </c>
      <c r="H101" s="325" t="s">
        <v>35</v>
      </c>
      <c r="I101" s="325" t="s">
        <v>8</v>
      </c>
      <c r="J101" s="624">
        <v>78.061180936032798</v>
      </c>
      <c r="K101" s="624"/>
      <c r="L101" s="625">
        <v>0.5</v>
      </c>
    </row>
    <row r="102" spans="1:12" hidden="1">
      <c r="A102" s="331">
        <v>240100</v>
      </c>
      <c r="B102" s="325" t="s">
        <v>109</v>
      </c>
      <c r="C102" s="325" t="s">
        <v>62</v>
      </c>
      <c r="D102" s="329" t="s">
        <v>14</v>
      </c>
      <c r="E102" s="329" t="s">
        <v>13</v>
      </c>
      <c r="F102" s="335"/>
      <c r="G102" s="325" t="s">
        <v>34</v>
      </c>
      <c r="H102" s="325" t="s">
        <v>35</v>
      </c>
    </row>
    <row r="103" spans="1:12" hidden="1">
      <c r="A103" s="331">
        <v>240200</v>
      </c>
      <c r="B103" s="325" t="s">
        <v>110</v>
      </c>
      <c r="C103" s="325" t="s">
        <v>62</v>
      </c>
      <c r="D103" s="329" t="s">
        <v>14</v>
      </c>
      <c r="E103" s="329" t="s">
        <v>13</v>
      </c>
      <c r="F103" s="335"/>
      <c r="G103" s="325" t="s">
        <v>34</v>
      </c>
      <c r="H103" s="325" t="s">
        <v>35</v>
      </c>
    </row>
    <row r="104" spans="1:12" hidden="1">
      <c r="A104" s="337">
        <v>300000</v>
      </c>
      <c r="B104" s="337" t="s">
        <v>111</v>
      </c>
      <c r="C104" s="337"/>
      <c r="D104" s="329"/>
      <c r="E104" s="329"/>
    </row>
    <row r="105" spans="1:12" s="329" customFormat="1" hidden="1">
      <c r="A105" s="333">
        <v>310000</v>
      </c>
      <c r="B105" s="329" t="s">
        <v>112</v>
      </c>
      <c r="C105" s="325" t="s">
        <v>62</v>
      </c>
      <c r="D105" s="329" t="s">
        <v>14</v>
      </c>
      <c r="E105" s="329" t="s">
        <v>13</v>
      </c>
      <c r="G105" s="325"/>
      <c r="H105" s="325"/>
      <c r="I105" s="325"/>
    </row>
    <row r="106" spans="1:12" hidden="1">
      <c r="A106" s="331">
        <v>310100</v>
      </c>
      <c r="B106" s="325" t="s">
        <v>113</v>
      </c>
      <c r="C106" s="325" t="s">
        <v>62</v>
      </c>
      <c r="D106" s="329" t="s">
        <v>14</v>
      </c>
      <c r="E106" s="329" t="s">
        <v>13</v>
      </c>
      <c r="G106" s="325" t="s">
        <v>34</v>
      </c>
      <c r="H106" s="325" t="s">
        <v>35</v>
      </c>
      <c r="I106" s="325" t="s">
        <v>6</v>
      </c>
      <c r="J106" s="327">
        <v>39.030590468016399</v>
      </c>
      <c r="K106" s="327"/>
      <c r="L106" s="325">
        <v>0.3</v>
      </c>
    </row>
    <row r="107" spans="1:12">
      <c r="A107" s="331">
        <v>310100</v>
      </c>
      <c r="B107" s="325" t="s">
        <v>113</v>
      </c>
      <c r="C107" s="325" t="s">
        <v>62</v>
      </c>
      <c r="D107" s="329" t="s">
        <v>14</v>
      </c>
      <c r="E107" s="329" t="s">
        <v>13</v>
      </c>
      <c r="G107" s="325" t="s">
        <v>34</v>
      </c>
      <c r="H107" s="325" t="s">
        <v>35</v>
      </c>
      <c r="I107" s="325" t="s">
        <v>7</v>
      </c>
      <c r="J107" s="327">
        <v>78.061180936032798</v>
      </c>
      <c r="K107" s="327"/>
      <c r="L107" s="325">
        <v>0.3</v>
      </c>
    </row>
    <row r="108" spans="1:12" hidden="1">
      <c r="A108" s="331">
        <v>310100</v>
      </c>
      <c r="B108" s="325" t="s">
        <v>113</v>
      </c>
      <c r="C108" s="325" t="s">
        <v>62</v>
      </c>
      <c r="D108" s="329" t="s">
        <v>14</v>
      </c>
      <c r="E108" s="329" t="s">
        <v>13</v>
      </c>
      <c r="G108" s="325" t="s">
        <v>34</v>
      </c>
      <c r="H108" s="325" t="s">
        <v>35</v>
      </c>
      <c r="I108" s="325" t="s">
        <v>8</v>
      </c>
      <c r="J108" s="327">
        <v>78.061180936032798</v>
      </c>
      <c r="K108" s="327"/>
      <c r="L108" s="325">
        <v>0.5</v>
      </c>
    </row>
    <row r="109" spans="1:12" hidden="1">
      <c r="A109" s="331">
        <v>310110</v>
      </c>
      <c r="B109" s="325" t="s">
        <v>114</v>
      </c>
      <c r="C109" s="325" t="s">
        <v>62</v>
      </c>
      <c r="D109" s="329" t="s">
        <v>14</v>
      </c>
      <c r="E109" s="329" t="s">
        <v>13</v>
      </c>
      <c r="G109" s="325" t="s">
        <v>52</v>
      </c>
      <c r="H109" s="325" t="s">
        <v>35</v>
      </c>
    </row>
    <row r="110" spans="1:12" hidden="1">
      <c r="A110" s="325">
        <v>310200</v>
      </c>
      <c r="B110" s="325" t="s">
        <v>115</v>
      </c>
      <c r="C110" s="325" t="s">
        <v>62</v>
      </c>
      <c r="D110" s="329" t="s">
        <v>14</v>
      </c>
      <c r="E110" s="329" t="s">
        <v>13</v>
      </c>
      <c r="G110" s="325" t="s">
        <v>52</v>
      </c>
      <c r="H110" s="325" t="s">
        <v>35</v>
      </c>
    </row>
    <row r="111" spans="1:12" s="329" customFormat="1" hidden="1">
      <c r="A111" s="330">
        <v>320000</v>
      </c>
      <c r="B111" s="329" t="s">
        <v>116</v>
      </c>
      <c r="C111" s="329" t="s">
        <v>9</v>
      </c>
      <c r="D111" s="329">
        <v>0</v>
      </c>
      <c r="E111" s="329" t="s">
        <v>117</v>
      </c>
      <c r="G111" s="325" t="s">
        <v>34</v>
      </c>
      <c r="H111" s="325" t="s">
        <v>35</v>
      </c>
      <c r="I111" s="325"/>
    </row>
    <row r="112" spans="1:12" hidden="1">
      <c r="A112" s="337">
        <v>400000</v>
      </c>
      <c r="B112" s="337" t="s">
        <v>118</v>
      </c>
      <c r="C112" s="337"/>
      <c r="D112" s="329"/>
      <c r="E112" s="329"/>
    </row>
    <row r="113" spans="1:12" s="329" customFormat="1" hidden="1">
      <c r="A113" s="333">
        <v>401000</v>
      </c>
      <c r="B113" s="329" t="s">
        <v>119</v>
      </c>
      <c r="C113" s="325" t="s">
        <v>120</v>
      </c>
      <c r="D113" s="329" t="s">
        <v>14</v>
      </c>
      <c r="E113" s="329" t="s">
        <v>13</v>
      </c>
      <c r="G113" s="325" t="s">
        <v>34</v>
      </c>
      <c r="H113" s="325" t="s">
        <v>35</v>
      </c>
      <c r="I113" s="325"/>
    </row>
    <row r="114" spans="1:12" hidden="1">
      <c r="A114" s="325">
        <v>401100</v>
      </c>
      <c r="B114" s="325" t="s">
        <v>121</v>
      </c>
      <c r="C114" s="325" t="s">
        <v>120</v>
      </c>
      <c r="D114" s="329" t="s">
        <v>14</v>
      </c>
      <c r="E114" s="329" t="s">
        <v>13</v>
      </c>
      <c r="G114" s="325" t="s">
        <v>34</v>
      </c>
      <c r="H114" s="325" t="s">
        <v>35</v>
      </c>
      <c r="I114" s="325" t="s">
        <v>6</v>
      </c>
      <c r="J114" s="327">
        <v>145.67988399595941</v>
      </c>
      <c r="K114" s="327"/>
      <c r="L114" s="325">
        <v>1.3</v>
      </c>
    </row>
    <row r="115" spans="1:12">
      <c r="A115" s="325">
        <v>401100</v>
      </c>
      <c r="B115" s="325" t="s">
        <v>121</v>
      </c>
      <c r="C115" s="325" t="s">
        <v>120</v>
      </c>
      <c r="D115" s="329" t="s">
        <v>14</v>
      </c>
      <c r="E115" s="329" t="s">
        <v>13</v>
      </c>
      <c r="G115" s="325" t="s">
        <v>34</v>
      </c>
      <c r="H115" s="325" t="s">
        <v>35</v>
      </c>
      <c r="I115" s="325" t="s">
        <v>7</v>
      </c>
      <c r="J115" s="327">
        <v>291.35976799191883</v>
      </c>
      <c r="K115" s="327"/>
      <c r="L115" s="325">
        <v>1.3</v>
      </c>
    </row>
    <row r="116" spans="1:12" hidden="1">
      <c r="A116" s="325">
        <v>401100</v>
      </c>
      <c r="B116" s="325" t="s">
        <v>121</v>
      </c>
      <c r="C116" s="325" t="s">
        <v>120</v>
      </c>
      <c r="D116" s="329" t="s">
        <v>14</v>
      </c>
      <c r="E116" s="329" t="s">
        <v>13</v>
      </c>
      <c r="G116" s="325" t="s">
        <v>34</v>
      </c>
      <c r="H116" s="325" t="s">
        <v>35</v>
      </c>
      <c r="I116" s="325" t="s">
        <v>8</v>
      </c>
      <c r="J116" s="327">
        <v>291.35976799191877</v>
      </c>
      <c r="K116" s="327"/>
      <c r="L116" s="325">
        <v>2</v>
      </c>
    </row>
    <row r="117" spans="1:12" hidden="1">
      <c r="A117" s="325">
        <v>401100</v>
      </c>
      <c r="B117" s="325" t="s">
        <v>121</v>
      </c>
      <c r="C117" s="325" t="s">
        <v>120</v>
      </c>
      <c r="D117" s="329" t="s">
        <v>14</v>
      </c>
      <c r="E117" s="329" t="s">
        <v>13</v>
      </c>
      <c r="G117" s="325" t="s">
        <v>34</v>
      </c>
      <c r="H117" s="325" t="s">
        <v>35</v>
      </c>
      <c r="I117" s="325" t="s">
        <v>9</v>
      </c>
      <c r="J117" s="327">
        <v>333.12967949634361</v>
      </c>
      <c r="K117" s="327"/>
      <c r="L117" s="325">
        <v>1</v>
      </c>
    </row>
    <row r="118" spans="1:12" hidden="1">
      <c r="A118" s="325">
        <v>401100</v>
      </c>
      <c r="B118" s="325" t="s">
        <v>122</v>
      </c>
      <c r="C118" s="325" t="s">
        <v>120</v>
      </c>
      <c r="D118" s="329" t="s">
        <v>14</v>
      </c>
      <c r="E118" s="329" t="s">
        <v>13</v>
      </c>
    </row>
    <row r="119" spans="1:12" hidden="1">
      <c r="A119" s="325">
        <v>401100</v>
      </c>
      <c r="B119" s="325" t="s">
        <v>68</v>
      </c>
      <c r="C119" s="325" t="s">
        <v>120</v>
      </c>
      <c r="D119" s="329" t="s">
        <v>14</v>
      </c>
      <c r="E119" s="329" t="s">
        <v>13</v>
      </c>
    </row>
    <row r="120" spans="1:12" hidden="1">
      <c r="A120" s="325">
        <v>401100</v>
      </c>
      <c r="B120" s="325" t="s">
        <v>69</v>
      </c>
      <c r="C120" s="325" t="s">
        <v>120</v>
      </c>
      <c r="D120" s="329" t="s">
        <v>14</v>
      </c>
      <c r="E120" s="329" t="s">
        <v>13</v>
      </c>
    </row>
    <row r="121" spans="1:12" hidden="1">
      <c r="A121" s="325">
        <v>401100</v>
      </c>
      <c r="B121" s="325" t="s">
        <v>67</v>
      </c>
      <c r="C121" s="325" t="s">
        <v>120</v>
      </c>
      <c r="D121" s="329" t="s">
        <v>14</v>
      </c>
      <c r="E121" s="329" t="s">
        <v>13</v>
      </c>
    </row>
    <row r="122" spans="1:12" hidden="1">
      <c r="A122" s="325">
        <v>401100</v>
      </c>
      <c r="B122" s="325" t="s">
        <v>70</v>
      </c>
      <c r="C122" s="325" t="s">
        <v>120</v>
      </c>
      <c r="D122" s="329" t="s">
        <v>14</v>
      </c>
      <c r="E122" s="329" t="s">
        <v>13</v>
      </c>
    </row>
    <row r="123" spans="1:12" hidden="1">
      <c r="A123" s="331">
        <v>401200</v>
      </c>
      <c r="B123" s="325" t="s">
        <v>123</v>
      </c>
      <c r="C123" s="325" t="s">
        <v>120</v>
      </c>
      <c r="D123" s="329" t="s">
        <v>14</v>
      </c>
      <c r="E123" s="329" t="s">
        <v>13</v>
      </c>
      <c r="G123" s="325" t="s">
        <v>34</v>
      </c>
      <c r="H123" s="325" t="s">
        <v>35</v>
      </c>
      <c r="I123" s="325" t="s">
        <v>6</v>
      </c>
      <c r="J123" s="327">
        <v>31.198732060936752</v>
      </c>
      <c r="K123" s="327"/>
      <c r="L123" s="325">
        <v>0.3</v>
      </c>
    </row>
    <row r="124" spans="1:12">
      <c r="A124" s="331">
        <v>401200</v>
      </c>
      <c r="B124" s="325" t="s">
        <v>123</v>
      </c>
      <c r="C124" s="325" t="s">
        <v>120</v>
      </c>
      <c r="D124" s="329" t="s">
        <v>14</v>
      </c>
      <c r="E124" s="329" t="s">
        <v>13</v>
      </c>
      <c r="G124" s="325" t="s">
        <v>34</v>
      </c>
      <c r="H124" s="325" t="s">
        <v>35</v>
      </c>
      <c r="I124" s="325" t="s">
        <v>7</v>
      </c>
      <c r="J124" s="327">
        <v>62.397464121873497</v>
      </c>
      <c r="K124" s="327"/>
      <c r="L124" s="325">
        <v>0.3</v>
      </c>
    </row>
    <row r="125" spans="1:12" hidden="1">
      <c r="A125" s="331">
        <v>401200</v>
      </c>
      <c r="B125" s="325" t="s">
        <v>123</v>
      </c>
      <c r="C125" s="325" t="s">
        <v>120</v>
      </c>
      <c r="D125" s="329" t="s">
        <v>14</v>
      </c>
      <c r="E125" s="329" t="s">
        <v>13</v>
      </c>
      <c r="G125" s="325" t="s">
        <v>34</v>
      </c>
      <c r="H125" s="325" t="s">
        <v>35</v>
      </c>
      <c r="I125" s="325" t="s">
        <v>8</v>
      </c>
      <c r="J125" s="327">
        <v>124.79492824374701</v>
      </c>
      <c r="K125" s="327"/>
      <c r="L125" s="325">
        <v>1</v>
      </c>
    </row>
    <row r="126" spans="1:12" hidden="1">
      <c r="A126" s="331">
        <v>401200</v>
      </c>
      <c r="B126" s="325" t="s">
        <v>123</v>
      </c>
      <c r="C126" s="325" t="s">
        <v>120</v>
      </c>
      <c r="D126" s="329" t="s">
        <v>14</v>
      </c>
      <c r="E126" s="329" t="s">
        <v>13</v>
      </c>
      <c r="G126" s="325" t="s">
        <v>34</v>
      </c>
      <c r="H126" s="325" t="s">
        <v>35</v>
      </c>
      <c r="I126" s="325" t="s">
        <v>9</v>
      </c>
      <c r="J126" s="327">
        <v>124.79492824374701</v>
      </c>
      <c r="K126" s="327"/>
      <c r="L126" s="325">
        <v>0.5</v>
      </c>
    </row>
    <row r="127" spans="1:12" hidden="1">
      <c r="A127" s="331">
        <v>401200</v>
      </c>
      <c r="B127" s="325" t="s">
        <v>124</v>
      </c>
      <c r="C127" s="325" t="s">
        <v>120</v>
      </c>
      <c r="D127" s="329" t="s">
        <v>14</v>
      </c>
      <c r="E127" s="329" t="s">
        <v>13</v>
      </c>
    </row>
    <row r="128" spans="1:12" hidden="1">
      <c r="A128" s="331">
        <v>401200</v>
      </c>
      <c r="B128" s="325" t="s">
        <v>125</v>
      </c>
      <c r="C128" s="325" t="s">
        <v>120</v>
      </c>
      <c r="D128" s="329" t="s">
        <v>14</v>
      </c>
      <c r="E128" s="329" t="s">
        <v>13</v>
      </c>
    </row>
    <row r="129" spans="1:13" hidden="1">
      <c r="A129" s="331">
        <v>401200</v>
      </c>
      <c r="B129" s="325" t="s">
        <v>126</v>
      </c>
      <c r="C129" s="325" t="s">
        <v>120</v>
      </c>
      <c r="D129" s="329" t="s">
        <v>14</v>
      </c>
      <c r="E129" s="329" t="s">
        <v>13</v>
      </c>
    </row>
    <row r="130" spans="1:13" hidden="1">
      <c r="A130" s="331">
        <v>401300</v>
      </c>
      <c r="B130" s="325" t="s">
        <v>127</v>
      </c>
      <c r="C130" s="325" t="s">
        <v>120</v>
      </c>
      <c r="D130" s="329" t="s">
        <v>14</v>
      </c>
      <c r="E130" s="329" t="s">
        <v>13</v>
      </c>
      <c r="G130" s="325" t="s">
        <v>34</v>
      </c>
      <c r="H130" s="325" t="s">
        <v>35</v>
      </c>
      <c r="I130" s="325" t="s">
        <v>6</v>
      </c>
      <c r="J130" s="327">
        <v>39.030590468016399</v>
      </c>
      <c r="K130" s="327"/>
      <c r="L130" s="326">
        <v>0.3</v>
      </c>
      <c r="M130" s="326"/>
    </row>
    <row r="131" spans="1:13">
      <c r="A131" s="331">
        <v>401300</v>
      </c>
      <c r="B131" s="325" t="s">
        <v>127</v>
      </c>
      <c r="C131" s="325" t="s">
        <v>120</v>
      </c>
      <c r="D131" s="329" t="s">
        <v>14</v>
      </c>
      <c r="E131" s="329" t="s">
        <v>13</v>
      </c>
      <c r="G131" s="325" t="s">
        <v>34</v>
      </c>
      <c r="H131" s="325" t="s">
        <v>35</v>
      </c>
      <c r="I131" s="325" t="s">
        <v>7</v>
      </c>
      <c r="J131" s="327">
        <v>156.1223618720656</v>
      </c>
      <c r="K131" s="327"/>
      <c r="L131" s="326">
        <v>0.7</v>
      </c>
    </row>
    <row r="132" spans="1:13" hidden="1">
      <c r="A132" s="331">
        <v>401300</v>
      </c>
      <c r="B132" s="325" t="s">
        <v>127</v>
      </c>
      <c r="C132" s="325" t="s">
        <v>120</v>
      </c>
      <c r="D132" s="329" t="s">
        <v>14</v>
      </c>
      <c r="E132" s="329" t="s">
        <v>13</v>
      </c>
      <c r="G132" s="325" t="s">
        <v>34</v>
      </c>
      <c r="H132" s="325" t="s">
        <v>35</v>
      </c>
      <c r="I132" s="325" t="s">
        <v>8</v>
      </c>
      <c r="J132" s="327">
        <v>156.1223618720656</v>
      </c>
      <c r="K132" s="327"/>
      <c r="L132" s="325">
        <v>1</v>
      </c>
    </row>
    <row r="133" spans="1:13" hidden="1">
      <c r="A133" s="331">
        <v>401300</v>
      </c>
      <c r="B133" s="325" t="s">
        <v>127</v>
      </c>
      <c r="C133" s="325" t="s">
        <v>120</v>
      </c>
      <c r="D133" s="329" t="s">
        <v>14</v>
      </c>
      <c r="E133" s="329" t="s">
        <v>13</v>
      </c>
      <c r="G133" s="325" t="s">
        <v>34</v>
      </c>
      <c r="H133" s="325" t="s">
        <v>35</v>
      </c>
      <c r="I133" s="325" t="s">
        <v>9</v>
      </c>
      <c r="J133" s="327">
        <v>79.030590468016385</v>
      </c>
      <c r="K133" s="327"/>
      <c r="L133" s="325">
        <v>0.3</v>
      </c>
    </row>
    <row r="134" spans="1:13" hidden="1">
      <c r="A134" s="331">
        <v>401300</v>
      </c>
      <c r="B134" s="325" t="s">
        <v>128</v>
      </c>
      <c r="C134" s="325" t="s">
        <v>120</v>
      </c>
      <c r="D134" s="329" t="s">
        <v>14</v>
      </c>
      <c r="E134" s="329" t="s">
        <v>13</v>
      </c>
    </row>
    <row r="135" spans="1:13" hidden="1">
      <c r="A135" s="331">
        <v>401300</v>
      </c>
      <c r="B135" s="325" t="s">
        <v>129</v>
      </c>
      <c r="C135" s="325" t="s">
        <v>120</v>
      </c>
      <c r="D135" s="329" t="s">
        <v>14</v>
      </c>
      <c r="E135" s="329" t="s">
        <v>13</v>
      </c>
    </row>
    <row r="136" spans="1:13" s="331" customFormat="1" hidden="1">
      <c r="A136" s="340">
        <v>401400</v>
      </c>
      <c r="B136" s="340" t="s">
        <v>130</v>
      </c>
      <c r="C136" s="325" t="s">
        <v>120</v>
      </c>
      <c r="D136" s="329" t="s">
        <v>14</v>
      </c>
      <c r="E136" s="329" t="s">
        <v>13</v>
      </c>
      <c r="G136" s="331" t="s">
        <v>34</v>
      </c>
      <c r="H136" s="331" t="s">
        <v>35</v>
      </c>
      <c r="I136" s="325" t="s">
        <v>6</v>
      </c>
      <c r="J136" s="354" t="e">
        <f>SUM(#REF!)</f>
        <v>#REF!</v>
      </c>
      <c r="K136" s="354"/>
      <c r="L136" s="326">
        <v>1.3333333333333333</v>
      </c>
    </row>
    <row r="137" spans="1:13" s="331" customFormat="1">
      <c r="A137" s="340">
        <v>401400</v>
      </c>
      <c r="B137" s="340" t="s">
        <v>130</v>
      </c>
      <c r="C137" s="325" t="s">
        <v>120</v>
      </c>
      <c r="D137" s="329" t="s">
        <v>14</v>
      </c>
      <c r="E137" s="329" t="s">
        <v>13</v>
      </c>
      <c r="G137" s="331" t="s">
        <v>34</v>
      </c>
      <c r="H137" s="331" t="s">
        <v>35</v>
      </c>
      <c r="I137" s="325" t="s">
        <v>7</v>
      </c>
      <c r="J137" s="354" t="e">
        <f>SUM(#REF!)</f>
        <v>#REF!</v>
      </c>
      <c r="K137" s="354"/>
      <c r="L137" s="326">
        <v>1.3333333333333333</v>
      </c>
    </row>
    <row r="138" spans="1:13" s="331" customFormat="1" hidden="1">
      <c r="A138" s="340">
        <v>401400</v>
      </c>
      <c r="B138" s="340" t="s">
        <v>130</v>
      </c>
      <c r="C138" s="325" t="s">
        <v>120</v>
      </c>
      <c r="D138" s="329" t="s">
        <v>14</v>
      </c>
      <c r="E138" s="329" t="s">
        <v>13</v>
      </c>
      <c r="G138" s="331" t="s">
        <v>34</v>
      </c>
      <c r="H138" s="331" t="s">
        <v>35</v>
      </c>
      <c r="I138" s="325" t="s">
        <v>8</v>
      </c>
      <c r="J138" s="354" t="e">
        <f>SUM(#REF!)</f>
        <v>#REF!</v>
      </c>
      <c r="K138" s="354"/>
      <c r="L138" s="325">
        <v>2</v>
      </c>
    </row>
    <row r="139" spans="1:13" s="331" customFormat="1" hidden="1">
      <c r="A139" s="340">
        <v>401400</v>
      </c>
      <c r="B139" s="340" t="s">
        <v>130</v>
      </c>
      <c r="C139" s="325" t="s">
        <v>120</v>
      </c>
      <c r="D139" s="329" t="s">
        <v>14</v>
      </c>
      <c r="E139" s="329" t="s">
        <v>13</v>
      </c>
      <c r="G139" s="331" t="s">
        <v>34</v>
      </c>
      <c r="H139" s="331" t="s">
        <v>35</v>
      </c>
      <c r="I139" s="325" t="s">
        <v>9</v>
      </c>
      <c r="J139" s="354" t="e">
        <f>SUM(#REF!)</f>
        <v>#REF!</v>
      </c>
      <c r="K139" s="354"/>
      <c r="L139" s="325">
        <v>1.5</v>
      </c>
    </row>
    <row r="140" spans="1:13" hidden="1">
      <c r="A140" s="331">
        <v>401410</v>
      </c>
      <c r="B140" s="325" t="s">
        <v>131</v>
      </c>
      <c r="C140" s="325" t="s">
        <v>120</v>
      </c>
      <c r="D140" s="329" t="s">
        <v>14</v>
      </c>
      <c r="E140" s="329" t="s">
        <v>13</v>
      </c>
    </row>
    <row r="141" spans="1:13" hidden="1">
      <c r="A141" s="331">
        <v>401411</v>
      </c>
      <c r="B141" s="325" t="s">
        <v>132</v>
      </c>
      <c r="C141" s="325" t="s">
        <v>120</v>
      </c>
      <c r="D141" s="329" t="s">
        <v>14</v>
      </c>
      <c r="E141" s="329" t="s">
        <v>13</v>
      </c>
    </row>
    <row r="142" spans="1:13" hidden="1">
      <c r="A142" s="331">
        <v>401412</v>
      </c>
      <c r="B142" s="325" t="s">
        <v>133</v>
      </c>
      <c r="C142" s="325" t="s">
        <v>120</v>
      </c>
      <c r="D142" s="329" t="s">
        <v>14</v>
      </c>
      <c r="E142" s="329" t="s">
        <v>13</v>
      </c>
    </row>
    <row r="143" spans="1:13" hidden="1">
      <c r="A143" s="331">
        <v>401413</v>
      </c>
      <c r="B143" s="325" t="s">
        <v>134</v>
      </c>
      <c r="C143" s="325" t="s">
        <v>120</v>
      </c>
      <c r="D143" s="329" t="s">
        <v>14</v>
      </c>
      <c r="E143" s="329" t="s">
        <v>13</v>
      </c>
      <c r="G143" s="325" t="s">
        <v>135</v>
      </c>
    </row>
    <row r="144" spans="1:13" hidden="1">
      <c r="A144" s="331">
        <v>401420</v>
      </c>
      <c r="B144" s="325" t="s">
        <v>136</v>
      </c>
      <c r="C144" s="325" t="s">
        <v>120</v>
      </c>
      <c r="D144" s="329" t="s">
        <v>14</v>
      </c>
      <c r="E144" s="329" t="s">
        <v>13</v>
      </c>
    </row>
    <row r="145" spans="1:8" hidden="1">
      <c r="A145" s="331">
        <v>401422</v>
      </c>
      <c r="B145" s="325" t="s">
        <v>137</v>
      </c>
      <c r="C145" s="325" t="s">
        <v>138</v>
      </c>
      <c r="D145" s="329" t="s">
        <v>139</v>
      </c>
      <c r="E145" s="329" t="s">
        <v>117</v>
      </c>
    </row>
    <row r="146" spans="1:8" hidden="1">
      <c r="A146" s="331">
        <v>401423</v>
      </c>
      <c r="B146" s="325" t="s">
        <v>140</v>
      </c>
      <c r="C146" s="325" t="s">
        <v>138</v>
      </c>
      <c r="D146" s="329" t="s">
        <v>139</v>
      </c>
      <c r="E146" s="329" t="s">
        <v>117</v>
      </c>
    </row>
    <row r="147" spans="1:8" s="331" customFormat="1" hidden="1">
      <c r="A147" s="340">
        <v>401500</v>
      </c>
      <c r="B147" s="340" t="s">
        <v>141</v>
      </c>
      <c r="C147" s="325" t="s">
        <v>120</v>
      </c>
      <c r="D147" s="329" t="s">
        <v>14</v>
      </c>
      <c r="E147" s="329" t="s">
        <v>13</v>
      </c>
    </row>
    <row r="148" spans="1:8" hidden="1">
      <c r="A148" s="331">
        <v>401510</v>
      </c>
      <c r="B148" s="325" t="s">
        <v>131</v>
      </c>
      <c r="C148" s="325" t="s">
        <v>120</v>
      </c>
      <c r="D148" s="329" t="s">
        <v>14</v>
      </c>
      <c r="E148" s="329" t="s">
        <v>13</v>
      </c>
    </row>
    <row r="149" spans="1:8" hidden="1">
      <c r="A149" s="331">
        <v>401510</v>
      </c>
      <c r="B149" s="325" t="s">
        <v>142</v>
      </c>
      <c r="C149" s="325" t="s">
        <v>120</v>
      </c>
      <c r="D149" s="329" t="s">
        <v>14</v>
      </c>
      <c r="E149" s="329" t="s">
        <v>13</v>
      </c>
    </row>
    <row r="150" spans="1:8" hidden="1">
      <c r="A150" s="331">
        <v>401510</v>
      </c>
      <c r="B150" s="325" t="s">
        <v>143</v>
      </c>
      <c r="C150" s="325" t="s">
        <v>120</v>
      </c>
      <c r="D150" s="329" t="s">
        <v>14</v>
      </c>
      <c r="E150" s="329" t="s">
        <v>13</v>
      </c>
    </row>
    <row r="151" spans="1:8" hidden="1">
      <c r="A151" s="331">
        <v>401520</v>
      </c>
      <c r="B151" s="325" t="s">
        <v>144</v>
      </c>
      <c r="C151" s="325" t="s">
        <v>138</v>
      </c>
      <c r="D151" s="329" t="s">
        <v>139</v>
      </c>
      <c r="E151" s="329" t="s">
        <v>117</v>
      </c>
    </row>
    <row r="152" spans="1:8" hidden="1">
      <c r="A152" s="331">
        <v>401520</v>
      </c>
      <c r="B152" s="325" t="s">
        <v>145</v>
      </c>
      <c r="C152" s="325" t="s">
        <v>138</v>
      </c>
      <c r="D152" s="329" t="s">
        <v>139</v>
      </c>
      <c r="E152" s="329" t="s">
        <v>117</v>
      </c>
    </row>
    <row r="153" spans="1:8" hidden="1">
      <c r="A153" s="331">
        <v>401520</v>
      </c>
      <c r="B153" s="325" t="s">
        <v>146</v>
      </c>
      <c r="C153" s="325" t="s">
        <v>138</v>
      </c>
      <c r="D153" s="329" t="s">
        <v>139</v>
      </c>
      <c r="E153" s="329" t="s">
        <v>117</v>
      </c>
    </row>
    <row r="154" spans="1:8" s="331" customFormat="1" hidden="1">
      <c r="A154" s="340">
        <v>401530</v>
      </c>
      <c r="B154" s="331" t="s">
        <v>147</v>
      </c>
      <c r="C154" s="325" t="s">
        <v>120</v>
      </c>
      <c r="D154" s="329" t="s">
        <v>14</v>
      </c>
      <c r="E154" s="329" t="s">
        <v>13</v>
      </c>
    </row>
    <row r="155" spans="1:8" s="331" customFormat="1" hidden="1">
      <c r="A155" s="340">
        <v>401531</v>
      </c>
      <c r="B155" s="331" t="s">
        <v>148</v>
      </c>
      <c r="C155" s="325" t="s">
        <v>120</v>
      </c>
      <c r="D155" s="329" t="s">
        <v>14</v>
      </c>
      <c r="E155" s="329" t="s">
        <v>13</v>
      </c>
      <c r="G155" s="331" t="s">
        <v>34</v>
      </c>
      <c r="H155" s="331" t="s">
        <v>35</v>
      </c>
    </row>
    <row r="156" spans="1:8" s="331" customFormat="1" hidden="1">
      <c r="A156" s="340">
        <v>401532</v>
      </c>
      <c r="B156" s="331" t="s">
        <v>149</v>
      </c>
      <c r="C156" s="325" t="s">
        <v>120</v>
      </c>
      <c r="D156" s="329" t="s">
        <v>14</v>
      </c>
      <c r="E156" s="329" t="s">
        <v>13</v>
      </c>
      <c r="G156" s="331" t="s">
        <v>34</v>
      </c>
      <c r="H156" s="331" t="s">
        <v>35</v>
      </c>
    </row>
    <row r="157" spans="1:8" s="331" customFormat="1" hidden="1">
      <c r="A157" s="340">
        <v>401533</v>
      </c>
      <c r="B157" s="331" t="s">
        <v>150</v>
      </c>
      <c r="C157" s="325" t="s">
        <v>138</v>
      </c>
      <c r="D157" s="329" t="s">
        <v>139</v>
      </c>
      <c r="E157" s="329" t="s">
        <v>117</v>
      </c>
      <c r="G157" s="331" t="s">
        <v>34</v>
      </c>
      <c r="H157" s="331" t="s">
        <v>35</v>
      </c>
    </row>
    <row r="158" spans="1:8" s="331" customFormat="1" hidden="1">
      <c r="A158" s="340">
        <v>401534</v>
      </c>
      <c r="B158" s="331" t="s">
        <v>151</v>
      </c>
      <c r="C158" s="325" t="s">
        <v>138</v>
      </c>
      <c r="D158" s="329" t="s">
        <v>139</v>
      </c>
      <c r="E158" s="329" t="s">
        <v>117</v>
      </c>
      <c r="G158" s="331" t="s">
        <v>49</v>
      </c>
      <c r="H158" s="331" t="s">
        <v>50</v>
      </c>
    </row>
    <row r="159" spans="1:8" s="331" customFormat="1" hidden="1">
      <c r="A159" s="340">
        <v>401535</v>
      </c>
      <c r="B159" s="331" t="s">
        <v>152</v>
      </c>
      <c r="C159" s="325" t="s">
        <v>138</v>
      </c>
      <c r="D159" s="329" t="s">
        <v>139</v>
      </c>
      <c r="E159" s="329" t="s">
        <v>117</v>
      </c>
      <c r="G159" s="331" t="s">
        <v>46</v>
      </c>
      <c r="H159" s="331" t="s">
        <v>47</v>
      </c>
    </row>
    <row r="160" spans="1:8" s="331" customFormat="1" hidden="1">
      <c r="A160" s="340">
        <v>401536</v>
      </c>
      <c r="B160" s="331" t="s">
        <v>153</v>
      </c>
      <c r="C160" s="325" t="s">
        <v>138</v>
      </c>
      <c r="D160" s="329" t="s">
        <v>139</v>
      </c>
      <c r="E160" s="329" t="s">
        <v>117</v>
      </c>
      <c r="G160" s="331" t="s">
        <v>52</v>
      </c>
      <c r="H160" s="331" t="s">
        <v>35</v>
      </c>
    </row>
    <row r="161" spans="1:9" s="340" customFormat="1" hidden="1">
      <c r="A161" s="340">
        <v>401600</v>
      </c>
      <c r="B161" s="340" t="s">
        <v>154</v>
      </c>
      <c r="C161" s="325" t="s">
        <v>120</v>
      </c>
      <c r="D161" s="329" t="s">
        <v>14</v>
      </c>
      <c r="E161" s="329" t="s">
        <v>13</v>
      </c>
    </row>
    <row r="162" spans="1:9" hidden="1">
      <c r="A162" s="340">
        <v>401600</v>
      </c>
      <c r="B162" s="325" t="s">
        <v>155</v>
      </c>
      <c r="C162" s="325" t="s">
        <v>120</v>
      </c>
      <c r="D162" s="329" t="s">
        <v>14</v>
      </c>
      <c r="E162" s="329" t="s">
        <v>13</v>
      </c>
    </row>
    <row r="163" spans="1:9" hidden="1">
      <c r="A163" s="340">
        <v>401600</v>
      </c>
      <c r="B163" s="325" t="s">
        <v>156</v>
      </c>
      <c r="C163" s="325" t="s">
        <v>120</v>
      </c>
      <c r="D163" s="329" t="s">
        <v>14</v>
      </c>
      <c r="E163" s="329" t="s">
        <v>13</v>
      </c>
    </row>
    <row r="164" spans="1:9" hidden="1">
      <c r="A164" s="340">
        <v>401600</v>
      </c>
      <c r="B164" s="325" t="s">
        <v>157</v>
      </c>
      <c r="C164" s="325" t="s">
        <v>120</v>
      </c>
      <c r="D164" s="329" t="s">
        <v>14</v>
      </c>
      <c r="E164" s="329" t="s">
        <v>13</v>
      </c>
    </row>
    <row r="165" spans="1:9" s="331" customFormat="1" hidden="1">
      <c r="A165" s="331">
        <v>401700</v>
      </c>
      <c r="B165" s="331" t="s">
        <v>158</v>
      </c>
      <c r="C165" s="325" t="s">
        <v>120</v>
      </c>
      <c r="D165" s="329" t="s">
        <v>14</v>
      </c>
      <c r="E165" s="329" t="s">
        <v>13</v>
      </c>
      <c r="G165" s="331" t="s">
        <v>58</v>
      </c>
      <c r="H165" s="331" t="s">
        <v>35</v>
      </c>
    </row>
    <row r="166" spans="1:9" s="329" customFormat="1" hidden="1">
      <c r="A166" s="330">
        <v>410000</v>
      </c>
      <c r="B166" s="329" t="s">
        <v>159</v>
      </c>
      <c r="C166" s="325" t="s">
        <v>160</v>
      </c>
      <c r="D166" s="329" t="s">
        <v>139</v>
      </c>
      <c r="E166" s="329" t="s">
        <v>13</v>
      </c>
      <c r="G166" s="325" t="s">
        <v>34</v>
      </c>
      <c r="H166" s="325" t="s">
        <v>35</v>
      </c>
      <c r="I166" s="325"/>
    </row>
    <row r="167" spans="1:9" hidden="1">
      <c r="A167" s="331">
        <v>410100</v>
      </c>
      <c r="B167" s="325" t="s">
        <v>161</v>
      </c>
      <c r="C167" s="325" t="s">
        <v>160</v>
      </c>
      <c r="D167" s="329" t="s">
        <v>139</v>
      </c>
      <c r="E167" s="329" t="s">
        <v>13</v>
      </c>
      <c r="G167" s="325" t="s">
        <v>34</v>
      </c>
      <c r="H167" s="325" t="s">
        <v>35</v>
      </c>
    </row>
    <row r="168" spans="1:9" hidden="1">
      <c r="A168" s="331">
        <v>410200</v>
      </c>
      <c r="B168" s="325" t="s">
        <v>162</v>
      </c>
      <c r="C168" s="325" t="s">
        <v>160</v>
      </c>
      <c r="D168" s="329" t="s">
        <v>139</v>
      </c>
      <c r="E168" s="329" t="s">
        <v>13</v>
      </c>
      <c r="G168" s="325" t="s">
        <v>34</v>
      </c>
      <c r="H168" s="325" t="s">
        <v>35</v>
      </c>
    </row>
    <row r="169" spans="1:9" hidden="1">
      <c r="A169" s="331">
        <v>410210</v>
      </c>
      <c r="B169" s="325" t="s">
        <v>163</v>
      </c>
      <c r="C169" s="325" t="s">
        <v>160</v>
      </c>
      <c r="D169" s="329" t="s">
        <v>139</v>
      </c>
      <c r="E169" s="329" t="s">
        <v>13</v>
      </c>
      <c r="G169" s="325" t="s">
        <v>49</v>
      </c>
      <c r="H169" s="325" t="s">
        <v>50</v>
      </c>
    </row>
    <row r="170" spans="1:9" hidden="1">
      <c r="A170" s="331">
        <v>410300</v>
      </c>
      <c r="B170" s="325" t="s">
        <v>164</v>
      </c>
      <c r="C170" s="325" t="s">
        <v>160</v>
      </c>
      <c r="D170" s="329" t="s">
        <v>139</v>
      </c>
      <c r="E170" s="329" t="s">
        <v>13</v>
      </c>
      <c r="G170" s="325" t="s">
        <v>34</v>
      </c>
      <c r="H170" s="325" t="s">
        <v>35</v>
      </c>
    </row>
    <row r="171" spans="1:9" hidden="1">
      <c r="A171" s="331">
        <v>410400</v>
      </c>
      <c r="B171" s="325" t="s">
        <v>165</v>
      </c>
      <c r="C171" s="325" t="s">
        <v>160</v>
      </c>
      <c r="D171" s="329" t="s">
        <v>139</v>
      </c>
      <c r="E171" s="329" t="s">
        <v>13</v>
      </c>
      <c r="G171" s="325" t="s">
        <v>34</v>
      </c>
      <c r="H171" s="325" t="s">
        <v>35</v>
      </c>
    </row>
    <row r="172" spans="1:9" s="331" customFormat="1" hidden="1">
      <c r="A172" s="331">
        <v>410500</v>
      </c>
      <c r="B172" s="331" t="s">
        <v>166</v>
      </c>
      <c r="C172" s="325" t="s">
        <v>160</v>
      </c>
      <c r="D172" s="329" t="s">
        <v>139</v>
      </c>
      <c r="E172" s="329" t="s">
        <v>13</v>
      </c>
      <c r="G172" s="331" t="s">
        <v>34</v>
      </c>
      <c r="H172" s="331" t="s">
        <v>35</v>
      </c>
    </row>
    <row r="173" spans="1:9" hidden="1">
      <c r="A173" s="331">
        <v>410510</v>
      </c>
      <c r="B173" s="325" t="s">
        <v>167</v>
      </c>
      <c r="C173" s="325" t="s">
        <v>160</v>
      </c>
      <c r="D173" s="329" t="s">
        <v>139</v>
      </c>
      <c r="E173" s="329" t="s">
        <v>13</v>
      </c>
      <c r="G173" s="325" t="s">
        <v>49</v>
      </c>
      <c r="H173" s="325" t="s">
        <v>50</v>
      </c>
    </row>
    <row r="174" spans="1:9" hidden="1">
      <c r="A174" s="331">
        <v>410600</v>
      </c>
      <c r="B174" s="325" t="s">
        <v>168</v>
      </c>
      <c r="C174" s="325" t="s">
        <v>160</v>
      </c>
      <c r="D174" s="329" t="s">
        <v>139</v>
      </c>
      <c r="E174" s="329" t="s">
        <v>13</v>
      </c>
      <c r="G174" s="325" t="s">
        <v>34</v>
      </c>
      <c r="H174" s="325" t="s">
        <v>35</v>
      </c>
    </row>
    <row r="175" spans="1:9" hidden="1">
      <c r="A175" s="331">
        <v>410700</v>
      </c>
      <c r="B175" s="325" t="s">
        <v>169</v>
      </c>
      <c r="C175" s="325" t="s">
        <v>160</v>
      </c>
      <c r="D175" s="329" t="s">
        <v>139</v>
      </c>
      <c r="E175" s="329" t="s">
        <v>13</v>
      </c>
      <c r="G175" s="325" t="s">
        <v>34</v>
      </c>
      <c r="H175" s="325" t="s">
        <v>35</v>
      </c>
    </row>
    <row r="176" spans="1:9" hidden="1">
      <c r="A176" s="331">
        <v>410800</v>
      </c>
      <c r="B176" s="325" t="s">
        <v>170</v>
      </c>
      <c r="C176" s="325" t="s">
        <v>160</v>
      </c>
      <c r="D176" s="329" t="s">
        <v>139</v>
      </c>
      <c r="E176" s="329" t="s">
        <v>13</v>
      </c>
      <c r="G176" s="325" t="s">
        <v>34</v>
      </c>
      <c r="H176" s="325" t="s">
        <v>35</v>
      </c>
    </row>
    <row r="177" spans="1:9" hidden="1">
      <c r="A177" s="331">
        <v>410900</v>
      </c>
      <c r="B177" s="325" t="s">
        <v>171</v>
      </c>
      <c r="C177" s="325" t="s">
        <v>160</v>
      </c>
      <c r="D177" s="329" t="s">
        <v>139</v>
      </c>
      <c r="E177" s="329" t="s">
        <v>13</v>
      </c>
      <c r="G177" s="325" t="s">
        <v>34</v>
      </c>
      <c r="H177" s="325" t="s">
        <v>35</v>
      </c>
    </row>
    <row r="178" spans="1:9" s="329" customFormat="1" hidden="1">
      <c r="A178" s="330">
        <v>420000</v>
      </c>
      <c r="B178" s="329" t="s">
        <v>172</v>
      </c>
      <c r="C178" s="325" t="s">
        <v>173</v>
      </c>
      <c r="D178" s="329" t="s">
        <v>14</v>
      </c>
      <c r="E178" s="329" t="s">
        <v>13</v>
      </c>
      <c r="G178" s="325" t="s">
        <v>49</v>
      </c>
      <c r="H178" s="325" t="s">
        <v>50</v>
      </c>
      <c r="I178" s="325"/>
    </row>
    <row r="179" spans="1:9" hidden="1">
      <c r="A179" s="331">
        <v>420100</v>
      </c>
      <c r="B179" s="325" t="s">
        <v>174</v>
      </c>
      <c r="C179" s="325" t="s">
        <v>173</v>
      </c>
      <c r="D179" s="329" t="s">
        <v>14</v>
      </c>
      <c r="E179" s="329" t="s">
        <v>13</v>
      </c>
      <c r="G179" s="325" t="s">
        <v>49</v>
      </c>
      <c r="H179" s="325" t="s">
        <v>50</v>
      </c>
    </row>
    <row r="180" spans="1:9" hidden="1">
      <c r="A180" s="331">
        <v>420200</v>
      </c>
      <c r="B180" s="325" t="s">
        <v>175</v>
      </c>
      <c r="C180" s="325" t="s">
        <v>173</v>
      </c>
      <c r="D180" s="329" t="s">
        <v>14</v>
      </c>
      <c r="E180" s="329" t="s">
        <v>13</v>
      </c>
      <c r="G180" s="325" t="s">
        <v>49</v>
      </c>
      <c r="H180" s="325" t="s">
        <v>50</v>
      </c>
    </row>
    <row r="181" spans="1:9" hidden="1">
      <c r="A181" s="331">
        <v>420300</v>
      </c>
      <c r="B181" s="325" t="s">
        <v>176</v>
      </c>
      <c r="C181" s="325" t="s">
        <v>173</v>
      </c>
      <c r="D181" s="329" t="s">
        <v>14</v>
      </c>
      <c r="E181" s="329" t="s">
        <v>13</v>
      </c>
      <c r="G181" s="325" t="s">
        <v>49</v>
      </c>
      <c r="H181" s="325" t="s">
        <v>50</v>
      </c>
    </row>
    <row r="182" spans="1:9" hidden="1">
      <c r="A182" s="331">
        <v>420400</v>
      </c>
      <c r="B182" s="325" t="s">
        <v>177</v>
      </c>
      <c r="C182" s="325" t="s">
        <v>173</v>
      </c>
      <c r="D182" s="329" t="s">
        <v>14</v>
      </c>
      <c r="E182" s="329" t="s">
        <v>13</v>
      </c>
      <c r="G182" s="325" t="s">
        <v>49</v>
      </c>
      <c r="H182" s="325" t="s">
        <v>50</v>
      </c>
    </row>
    <row r="183" spans="1:9" hidden="1">
      <c r="A183" s="331">
        <v>420800</v>
      </c>
      <c r="B183" s="325" t="s">
        <v>178</v>
      </c>
      <c r="C183" s="325" t="s">
        <v>173</v>
      </c>
      <c r="D183" s="329" t="s">
        <v>14</v>
      </c>
      <c r="E183" s="329" t="s">
        <v>13</v>
      </c>
      <c r="G183" s="325" t="s">
        <v>49</v>
      </c>
      <c r="H183" s="325" t="s">
        <v>50</v>
      </c>
    </row>
    <row r="184" spans="1:9" s="329" customFormat="1" hidden="1">
      <c r="A184" s="330">
        <v>430000</v>
      </c>
      <c r="B184" s="329" t="s">
        <v>179</v>
      </c>
      <c r="C184" s="325" t="s">
        <v>180</v>
      </c>
      <c r="D184" s="329" t="s">
        <v>14</v>
      </c>
      <c r="E184" s="329" t="s">
        <v>13</v>
      </c>
      <c r="G184" s="325" t="s">
        <v>49</v>
      </c>
      <c r="H184" s="325" t="s">
        <v>50</v>
      </c>
      <c r="I184" s="325"/>
    </row>
    <row r="185" spans="1:9" hidden="1">
      <c r="A185" s="331">
        <v>430100</v>
      </c>
      <c r="B185" s="325" t="s">
        <v>181</v>
      </c>
      <c r="C185" s="325" t="s">
        <v>180</v>
      </c>
      <c r="D185" s="329" t="s">
        <v>14</v>
      </c>
      <c r="E185" s="329" t="s">
        <v>13</v>
      </c>
      <c r="G185" s="325" t="s">
        <v>49</v>
      </c>
      <c r="H185" s="325" t="s">
        <v>50</v>
      </c>
    </row>
    <row r="186" spans="1:9" hidden="1">
      <c r="A186" s="331">
        <v>430200</v>
      </c>
      <c r="B186" s="325" t="s">
        <v>182</v>
      </c>
      <c r="C186" s="325" t="s">
        <v>180</v>
      </c>
      <c r="D186" s="329" t="s">
        <v>14</v>
      </c>
      <c r="E186" s="329" t="s">
        <v>13</v>
      </c>
      <c r="G186" s="325" t="s">
        <v>49</v>
      </c>
      <c r="H186" s="325" t="s">
        <v>50</v>
      </c>
    </row>
    <row r="187" spans="1:9" hidden="1">
      <c r="A187" s="331">
        <v>430300</v>
      </c>
      <c r="B187" s="325" t="s">
        <v>183</v>
      </c>
      <c r="C187" s="325" t="s">
        <v>180</v>
      </c>
      <c r="D187" s="329" t="s">
        <v>14</v>
      </c>
      <c r="E187" s="329" t="s">
        <v>13</v>
      </c>
      <c r="G187" s="325" t="s">
        <v>49</v>
      </c>
      <c r="H187" s="325" t="s">
        <v>50</v>
      </c>
    </row>
    <row r="188" spans="1:9" hidden="1">
      <c r="A188" s="331">
        <v>430400</v>
      </c>
      <c r="B188" s="325" t="s">
        <v>184</v>
      </c>
      <c r="C188" s="325" t="s">
        <v>180</v>
      </c>
      <c r="D188" s="329" t="s">
        <v>14</v>
      </c>
      <c r="E188" s="329" t="s">
        <v>13</v>
      </c>
      <c r="G188" s="325" t="s">
        <v>49</v>
      </c>
      <c r="H188" s="325" t="s">
        <v>50</v>
      </c>
    </row>
    <row r="189" spans="1:9" hidden="1">
      <c r="A189" s="331">
        <v>430500</v>
      </c>
      <c r="B189" s="325" t="s">
        <v>185</v>
      </c>
      <c r="C189" s="325" t="s">
        <v>180</v>
      </c>
      <c r="D189" s="329" t="s">
        <v>14</v>
      </c>
      <c r="E189" s="329" t="s">
        <v>13</v>
      </c>
      <c r="G189" s="325" t="s">
        <v>49</v>
      </c>
      <c r="H189" s="325" t="s">
        <v>50</v>
      </c>
    </row>
    <row r="190" spans="1:9" s="329" customFormat="1" hidden="1">
      <c r="A190" s="330">
        <v>440000</v>
      </c>
      <c r="B190" s="329" t="s">
        <v>186</v>
      </c>
      <c r="C190" s="325" t="s">
        <v>187</v>
      </c>
      <c r="D190" s="329" t="s">
        <v>14</v>
      </c>
      <c r="E190" s="329" t="s">
        <v>13</v>
      </c>
      <c r="G190" s="325"/>
      <c r="H190" s="325"/>
      <c r="I190" s="325"/>
    </row>
    <row r="191" spans="1:9" hidden="1">
      <c r="A191" s="331">
        <v>440100</v>
      </c>
      <c r="B191" s="325" t="s">
        <v>188</v>
      </c>
      <c r="C191" s="325" t="s">
        <v>187</v>
      </c>
      <c r="D191" s="329" t="s">
        <v>14</v>
      </c>
      <c r="E191" s="329" t="s">
        <v>13</v>
      </c>
      <c r="G191" s="325" t="s">
        <v>34</v>
      </c>
      <c r="H191" s="325" t="s">
        <v>35</v>
      </c>
    </row>
    <row r="192" spans="1:9" hidden="1">
      <c r="A192" s="331">
        <v>440200</v>
      </c>
      <c r="B192" s="325" t="s">
        <v>189</v>
      </c>
      <c r="C192" s="325" t="s">
        <v>187</v>
      </c>
      <c r="D192" s="329" t="s">
        <v>14</v>
      </c>
      <c r="E192" s="329" t="s">
        <v>13</v>
      </c>
      <c r="G192" s="325" t="s">
        <v>49</v>
      </c>
      <c r="H192" s="325" t="s">
        <v>50</v>
      </c>
    </row>
    <row r="193" spans="1:9" hidden="1">
      <c r="A193" s="331">
        <v>440210</v>
      </c>
      <c r="B193" s="325" t="s">
        <v>190</v>
      </c>
      <c r="C193" s="325" t="s">
        <v>187</v>
      </c>
      <c r="D193" s="329" t="s">
        <v>14</v>
      </c>
      <c r="E193" s="329" t="s">
        <v>13</v>
      </c>
    </row>
    <row r="194" spans="1:9" hidden="1">
      <c r="A194" s="331">
        <v>440220</v>
      </c>
      <c r="B194" s="325" t="s">
        <v>191</v>
      </c>
      <c r="C194" s="325" t="s">
        <v>187</v>
      </c>
      <c r="D194" s="329" t="s">
        <v>14</v>
      </c>
      <c r="E194" s="329" t="s">
        <v>13</v>
      </c>
    </row>
    <row r="195" spans="1:9" hidden="1">
      <c r="A195" s="331">
        <v>440230</v>
      </c>
      <c r="B195" s="325" t="s">
        <v>192</v>
      </c>
      <c r="C195" s="325" t="s">
        <v>187</v>
      </c>
      <c r="D195" s="329" t="s">
        <v>14</v>
      </c>
      <c r="E195" s="329" t="s">
        <v>13</v>
      </c>
    </row>
    <row r="196" spans="1:9" hidden="1">
      <c r="A196" s="331">
        <v>440240</v>
      </c>
      <c r="B196" s="325" t="s">
        <v>193</v>
      </c>
      <c r="C196" s="325" t="s">
        <v>187</v>
      </c>
      <c r="D196" s="329" t="s">
        <v>14</v>
      </c>
      <c r="E196" s="329" t="s">
        <v>13</v>
      </c>
    </row>
    <row r="197" spans="1:9" hidden="1">
      <c r="A197" s="331">
        <v>440250</v>
      </c>
      <c r="B197" s="325" t="s">
        <v>194</v>
      </c>
      <c r="C197" s="325" t="s">
        <v>187</v>
      </c>
      <c r="D197" s="329" t="s">
        <v>14</v>
      </c>
      <c r="E197" s="329" t="s">
        <v>13</v>
      </c>
    </row>
    <row r="198" spans="1:9" hidden="1">
      <c r="A198" s="331">
        <v>440260</v>
      </c>
      <c r="B198" s="325" t="s">
        <v>195</v>
      </c>
      <c r="C198" s="325" t="s">
        <v>187</v>
      </c>
      <c r="D198" s="329" t="s">
        <v>14</v>
      </c>
      <c r="E198" s="329" t="s">
        <v>13</v>
      </c>
    </row>
    <row r="199" spans="1:9" hidden="1">
      <c r="A199" s="331">
        <v>440300</v>
      </c>
      <c r="B199" s="325" t="s">
        <v>196</v>
      </c>
      <c r="C199" s="325" t="s">
        <v>187</v>
      </c>
      <c r="D199" s="329" t="s">
        <v>14</v>
      </c>
      <c r="E199" s="329" t="s">
        <v>13</v>
      </c>
      <c r="G199" s="325" t="s">
        <v>34</v>
      </c>
      <c r="H199" s="325" t="s">
        <v>35</v>
      </c>
    </row>
    <row r="200" spans="1:9" hidden="1">
      <c r="A200" s="331">
        <v>440310</v>
      </c>
      <c r="B200" s="325" t="s">
        <v>197</v>
      </c>
      <c r="C200" s="325" t="s">
        <v>187</v>
      </c>
      <c r="D200" s="329" t="s">
        <v>14</v>
      </c>
      <c r="E200" s="329" t="s">
        <v>13</v>
      </c>
    </row>
    <row r="201" spans="1:9" hidden="1">
      <c r="A201" s="331">
        <v>440320</v>
      </c>
      <c r="B201" s="325" t="s">
        <v>198</v>
      </c>
      <c r="C201" s="325" t="s">
        <v>187</v>
      </c>
      <c r="D201" s="329" t="s">
        <v>14</v>
      </c>
      <c r="E201" s="329" t="s">
        <v>13</v>
      </c>
    </row>
    <row r="202" spans="1:9" hidden="1">
      <c r="A202" s="331">
        <v>440330</v>
      </c>
      <c r="B202" s="325" t="s">
        <v>199</v>
      </c>
      <c r="C202" s="325" t="s">
        <v>187</v>
      </c>
      <c r="D202" s="329" t="s">
        <v>14</v>
      </c>
      <c r="E202" s="329" t="s">
        <v>13</v>
      </c>
    </row>
    <row r="203" spans="1:9" hidden="1">
      <c r="A203" s="331">
        <v>440340</v>
      </c>
      <c r="B203" s="325" t="s">
        <v>200</v>
      </c>
      <c r="C203" s="325" t="s">
        <v>187</v>
      </c>
      <c r="D203" s="329" t="s">
        <v>14</v>
      </c>
      <c r="E203" s="329" t="s">
        <v>13</v>
      </c>
    </row>
    <row r="204" spans="1:9" hidden="1">
      <c r="A204" s="331">
        <v>440350</v>
      </c>
      <c r="B204" s="325" t="s">
        <v>201</v>
      </c>
      <c r="C204" s="325" t="s">
        <v>187</v>
      </c>
      <c r="D204" s="329" t="s">
        <v>14</v>
      </c>
      <c r="E204" s="329" t="s">
        <v>13</v>
      </c>
    </row>
    <row r="205" spans="1:9" hidden="1">
      <c r="A205" s="331">
        <v>440360</v>
      </c>
      <c r="B205" s="325" t="s">
        <v>195</v>
      </c>
      <c r="C205" s="325" t="s">
        <v>187</v>
      </c>
      <c r="D205" s="329" t="s">
        <v>14</v>
      </c>
      <c r="E205" s="329" t="s">
        <v>13</v>
      </c>
    </row>
    <row r="206" spans="1:9" hidden="1">
      <c r="A206" s="331">
        <v>440400</v>
      </c>
      <c r="B206" s="325" t="s">
        <v>202</v>
      </c>
      <c r="C206" s="325" t="s">
        <v>187</v>
      </c>
      <c r="D206" s="329" t="s">
        <v>14</v>
      </c>
      <c r="E206" s="329" t="s">
        <v>13</v>
      </c>
      <c r="G206" s="325" t="s">
        <v>34</v>
      </c>
      <c r="H206" s="325" t="s">
        <v>35</v>
      </c>
    </row>
    <row r="207" spans="1:9" s="329" customFormat="1" hidden="1">
      <c r="A207" s="330">
        <v>450000</v>
      </c>
      <c r="B207" s="329" t="s">
        <v>203</v>
      </c>
      <c r="C207" s="325" t="s">
        <v>204</v>
      </c>
      <c r="D207" s="329" t="s">
        <v>14</v>
      </c>
      <c r="E207" s="329" t="s">
        <v>13</v>
      </c>
      <c r="G207" s="325" t="s">
        <v>46</v>
      </c>
      <c r="H207" s="325" t="s">
        <v>47</v>
      </c>
      <c r="I207" s="325"/>
    </row>
    <row r="208" spans="1:9" s="332" customFormat="1" hidden="1">
      <c r="A208" s="331">
        <v>450100</v>
      </c>
      <c r="B208" s="331" t="s">
        <v>205</v>
      </c>
      <c r="C208" s="325" t="s">
        <v>204</v>
      </c>
      <c r="D208" s="329" t="s">
        <v>14</v>
      </c>
      <c r="E208" s="329" t="s">
        <v>13</v>
      </c>
      <c r="F208" s="331"/>
      <c r="G208" s="331" t="s">
        <v>46</v>
      </c>
      <c r="H208" s="331" t="s">
        <v>47</v>
      </c>
      <c r="I208" s="331"/>
    </row>
    <row r="209" spans="1:9" s="331" customFormat="1" hidden="1">
      <c r="A209" s="331">
        <v>450110</v>
      </c>
      <c r="B209" s="331" t="s">
        <v>206</v>
      </c>
      <c r="C209" s="325" t="s">
        <v>204</v>
      </c>
      <c r="D209" s="329" t="s">
        <v>14</v>
      </c>
      <c r="E209" s="329" t="s">
        <v>13</v>
      </c>
      <c r="G209" s="342" t="s">
        <v>34</v>
      </c>
      <c r="H209" s="342" t="s">
        <v>35</v>
      </c>
      <c r="I209" s="342"/>
    </row>
    <row r="210" spans="1:9" hidden="1">
      <c r="A210" s="331">
        <v>450200</v>
      </c>
      <c r="B210" s="325" t="s">
        <v>207</v>
      </c>
      <c r="C210" s="325" t="s">
        <v>204</v>
      </c>
      <c r="D210" s="329" t="s">
        <v>14</v>
      </c>
      <c r="E210" s="329" t="s">
        <v>13</v>
      </c>
      <c r="G210" s="325" t="s">
        <v>46</v>
      </c>
      <c r="H210" s="325" t="s">
        <v>47</v>
      </c>
    </row>
    <row r="211" spans="1:9" hidden="1">
      <c r="A211" s="325">
        <v>450210</v>
      </c>
      <c r="B211" s="325" t="s">
        <v>208</v>
      </c>
      <c r="C211" s="325" t="s">
        <v>204</v>
      </c>
      <c r="D211" s="329" t="s">
        <v>14</v>
      </c>
      <c r="E211" s="329" t="s">
        <v>13</v>
      </c>
      <c r="G211" s="328" t="s">
        <v>34</v>
      </c>
      <c r="H211" s="328" t="s">
        <v>35</v>
      </c>
      <c r="I211" s="328"/>
    </row>
    <row r="212" spans="1:9" hidden="1">
      <c r="A212" s="325">
        <v>450300</v>
      </c>
      <c r="B212" s="325" t="s">
        <v>209</v>
      </c>
      <c r="C212" s="325" t="s">
        <v>204</v>
      </c>
      <c r="D212" s="329" t="s">
        <v>14</v>
      </c>
      <c r="E212" s="329" t="s">
        <v>13</v>
      </c>
      <c r="G212" s="325" t="s">
        <v>46</v>
      </c>
      <c r="H212" s="325" t="s">
        <v>47</v>
      </c>
    </row>
    <row r="213" spans="1:9" hidden="1">
      <c r="A213" s="325">
        <v>450310</v>
      </c>
      <c r="B213" s="325" t="s">
        <v>210</v>
      </c>
      <c r="C213" s="325" t="s">
        <v>204</v>
      </c>
      <c r="D213" s="329" t="s">
        <v>14</v>
      </c>
      <c r="E213" s="329" t="s">
        <v>13</v>
      </c>
      <c r="G213" s="328" t="s">
        <v>34</v>
      </c>
      <c r="H213" s="328" t="s">
        <v>35</v>
      </c>
      <c r="I213" s="328"/>
    </row>
    <row r="214" spans="1:9" hidden="1">
      <c r="A214" s="325">
        <v>450400</v>
      </c>
      <c r="B214" s="325" t="s">
        <v>211</v>
      </c>
      <c r="C214" s="325" t="s">
        <v>204</v>
      </c>
      <c r="D214" s="329" t="s">
        <v>14</v>
      </c>
      <c r="E214" s="329" t="s">
        <v>13</v>
      </c>
      <c r="G214" s="325" t="s">
        <v>46</v>
      </c>
      <c r="H214" s="325" t="s">
        <v>47</v>
      </c>
    </row>
    <row r="215" spans="1:9" hidden="1">
      <c r="A215" s="325">
        <v>450410</v>
      </c>
      <c r="B215" s="325" t="s">
        <v>212</v>
      </c>
      <c r="C215" s="325" t="s">
        <v>204</v>
      </c>
      <c r="D215" s="329" t="s">
        <v>14</v>
      </c>
      <c r="E215" s="329" t="s">
        <v>13</v>
      </c>
      <c r="G215" s="328" t="s">
        <v>34</v>
      </c>
      <c r="H215" s="328" t="s">
        <v>35</v>
      </c>
      <c r="I215" s="328"/>
    </row>
    <row r="216" spans="1:9" hidden="1">
      <c r="A216" s="325">
        <v>450500</v>
      </c>
      <c r="B216" s="325" t="s">
        <v>213</v>
      </c>
      <c r="D216" s="329" t="e">
        <v>#N/A</v>
      </c>
      <c r="E216" s="329" t="e">
        <v>#N/A</v>
      </c>
      <c r="G216" s="325" t="s">
        <v>46</v>
      </c>
      <c r="H216" s="325" t="s">
        <v>47</v>
      </c>
    </row>
    <row r="217" spans="1:9" hidden="1">
      <c r="A217" s="325">
        <v>450510</v>
      </c>
      <c r="B217" s="325" t="s">
        <v>214</v>
      </c>
      <c r="D217" s="329" t="e">
        <v>#N/A</v>
      </c>
      <c r="E217" s="329" t="e">
        <v>#N/A</v>
      </c>
      <c r="G217" s="325" t="s">
        <v>46</v>
      </c>
      <c r="H217" s="325" t="s">
        <v>47</v>
      </c>
    </row>
    <row r="218" spans="1:9" hidden="1">
      <c r="A218" s="325">
        <v>450520</v>
      </c>
      <c r="B218" s="325" t="s">
        <v>215</v>
      </c>
      <c r="D218" s="329" t="e">
        <v>#N/A</v>
      </c>
      <c r="E218" s="329" t="e">
        <v>#N/A</v>
      </c>
      <c r="G218" s="325" t="s">
        <v>46</v>
      </c>
      <c r="H218" s="325" t="s">
        <v>47</v>
      </c>
    </row>
    <row r="219" spans="1:9" hidden="1">
      <c r="A219" s="325">
        <v>450521</v>
      </c>
      <c r="B219" s="325" t="s">
        <v>216</v>
      </c>
      <c r="D219" s="329" t="e">
        <v>#N/A</v>
      </c>
      <c r="E219" s="329" t="e">
        <v>#N/A</v>
      </c>
      <c r="G219" s="328" t="s">
        <v>34</v>
      </c>
      <c r="H219" s="328" t="s">
        <v>35</v>
      </c>
      <c r="I219" s="328"/>
    </row>
    <row r="220" spans="1:9" hidden="1">
      <c r="A220" s="325">
        <v>450530</v>
      </c>
      <c r="B220" s="325" t="s">
        <v>217</v>
      </c>
      <c r="D220" s="329" t="e">
        <v>#N/A</v>
      </c>
      <c r="E220" s="329" t="e">
        <v>#N/A</v>
      </c>
      <c r="G220" s="325" t="s">
        <v>46</v>
      </c>
      <c r="H220" s="325" t="s">
        <v>47</v>
      </c>
    </row>
    <row r="221" spans="1:9" hidden="1">
      <c r="A221" s="325">
        <v>450531</v>
      </c>
      <c r="B221" s="325" t="s">
        <v>218</v>
      </c>
      <c r="D221" s="329" t="e">
        <v>#N/A</v>
      </c>
      <c r="E221" s="329" t="e">
        <v>#N/A</v>
      </c>
      <c r="G221" s="328" t="s">
        <v>34</v>
      </c>
      <c r="H221" s="328" t="s">
        <v>35</v>
      </c>
      <c r="I221" s="328"/>
    </row>
    <row r="222" spans="1:9" hidden="1">
      <c r="A222" s="325">
        <v>450600</v>
      </c>
      <c r="B222" s="325" t="s">
        <v>219</v>
      </c>
      <c r="D222" s="329" t="e">
        <v>#N/A</v>
      </c>
      <c r="E222" s="329" t="e">
        <v>#N/A</v>
      </c>
      <c r="G222" s="325" t="s">
        <v>46</v>
      </c>
      <c r="H222" s="325" t="s">
        <v>47</v>
      </c>
    </row>
    <row r="223" spans="1:9" hidden="1">
      <c r="A223" s="325">
        <v>450610</v>
      </c>
      <c r="B223" s="325" t="s">
        <v>220</v>
      </c>
      <c r="D223" s="329" t="e">
        <v>#N/A</v>
      </c>
      <c r="E223" s="329" t="e">
        <v>#N/A</v>
      </c>
      <c r="G223" s="325" t="s">
        <v>46</v>
      </c>
      <c r="H223" s="325" t="s">
        <v>47</v>
      </c>
    </row>
    <row r="224" spans="1:9" hidden="1">
      <c r="A224" s="325">
        <v>450611</v>
      </c>
      <c r="B224" s="325" t="s">
        <v>221</v>
      </c>
      <c r="D224" s="329" t="e">
        <v>#N/A</v>
      </c>
      <c r="E224" s="329" t="e">
        <v>#N/A</v>
      </c>
      <c r="G224" s="328" t="s">
        <v>34</v>
      </c>
      <c r="H224" s="328" t="s">
        <v>35</v>
      </c>
      <c r="I224" s="328"/>
    </row>
    <row r="225" spans="1:9" hidden="1">
      <c r="A225" s="325">
        <v>450620</v>
      </c>
      <c r="B225" s="325" t="s">
        <v>222</v>
      </c>
      <c r="D225" s="329" t="e">
        <v>#N/A</v>
      </c>
      <c r="E225" s="329" t="e">
        <v>#N/A</v>
      </c>
      <c r="G225" s="325" t="s">
        <v>46</v>
      </c>
      <c r="H225" s="325" t="s">
        <v>47</v>
      </c>
    </row>
    <row r="226" spans="1:9" hidden="1">
      <c r="A226" s="325">
        <v>450630</v>
      </c>
      <c r="B226" s="325" t="s">
        <v>223</v>
      </c>
      <c r="D226" s="329" t="e">
        <v>#N/A</v>
      </c>
      <c r="E226" s="329" t="e">
        <v>#N/A</v>
      </c>
      <c r="G226" s="325" t="s">
        <v>46</v>
      </c>
      <c r="H226" s="325" t="s">
        <v>47</v>
      </c>
    </row>
    <row r="227" spans="1:9" hidden="1">
      <c r="A227" s="325">
        <v>450700</v>
      </c>
      <c r="B227" s="325" t="s">
        <v>224</v>
      </c>
      <c r="D227" s="329" t="e">
        <v>#N/A</v>
      </c>
      <c r="E227" s="329" t="e">
        <v>#N/A</v>
      </c>
      <c r="G227" s="325" t="s">
        <v>46</v>
      </c>
      <c r="H227" s="325" t="s">
        <v>47</v>
      </c>
    </row>
    <row r="228" spans="1:9" hidden="1">
      <c r="A228" s="325">
        <v>450800</v>
      </c>
      <c r="B228" s="325" t="s">
        <v>225</v>
      </c>
      <c r="D228" s="329" t="e">
        <v>#N/A</v>
      </c>
      <c r="E228" s="329" t="e">
        <v>#N/A</v>
      </c>
      <c r="G228" s="325" t="s">
        <v>46</v>
      </c>
      <c r="H228" s="325" t="s">
        <v>47</v>
      </c>
    </row>
    <row r="229" spans="1:9" hidden="1">
      <c r="A229" s="325">
        <v>450810</v>
      </c>
      <c r="B229" s="325" t="s">
        <v>226</v>
      </c>
      <c r="D229" s="329" t="e">
        <v>#N/A</v>
      </c>
      <c r="E229" s="329" t="e">
        <v>#N/A</v>
      </c>
      <c r="G229" s="328" t="s">
        <v>34</v>
      </c>
      <c r="H229" s="328" t="s">
        <v>35</v>
      </c>
      <c r="I229" s="328"/>
    </row>
    <row r="230" spans="1:9" hidden="1">
      <c r="A230" s="325">
        <v>450900</v>
      </c>
      <c r="B230" s="325" t="s">
        <v>227</v>
      </c>
      <c r="D230" s="329" t="e">
        <v>#N/A</v>
      </c>
      <c r="E230" s="329" t="e">
        <v>#N/A</v>
      </c>
      <c r="G230" s="325" t="s">
        <v>46</v>
      </c>
      <c r="H230" s="325" t="s">
        <v>47</v>
      </c>
    </row>
    <row r="231" spans="1:9" s="329" customFormat="1" hidden="1">
      <c r="A231" s="330">
        <v>460000</v>
      </c>
      <c r="B231" s="329" t="s">
        <v>228</v>
      </c>
      <c r="G231" s="328" t="s">
        <v>34</v>
      </c>
      <c r="H231" s="328" t="s">
        <v>35</v>
      </c>
      <c r="I231" s="328"/>
    </row>
    <row r="232" spans="1:9" hidden="1">
      <c r="A232" s="325">
        <v>460100</v>
      </c>
      <c r="B232" s="331" t="s">
        <v>229</v>
      </c>
      <c r="C232" s="325" t="s">
        <v>230</v>
      </c>
      <c r="D232" s="329" t="s">
        <v>139</v>
      </c>
      <c r="E232" s="329" t="s">
        <v>13</v>
      </c>
      <c r="G232" s="328" t="s">
        <v>34</v>
      </c>
      <c r="H232" s="328" t="s">
        <v>35</v>
      </c>
      <c r="I232" s="328"/>
    </row>
    <row r="233" spans="1:9" hidden="1">
      <c r="A233" s="331">
        <v>460200</v>
      </c>
      <c r="B233" s="325" t="s">
        <v>231</v>
      </c>
      <c r="C233" s="325" t="s">
        <v>230</v>
      </c>
      <c r="D233" s="329" t="s">
        <v>139</v>
      </c>
      <c r="E233" s="329" t="s">
        <v>13</v>
      </c>
      <c r="G233" s="328" t="s">
        <v>34</v>
      </c>
      <c r="H233" s="328" t="s">
        <v>35</v>
      </c>
      <c r="I233" s="328"/>
    </row>
    <row r="234" spans="1:9" s="331" customFormat="1" hidden="1">
      <c r="A234" s="331">
        <v>460201</v>
      </c>
      <c r="B234" s="331" t="s">
        <v>232</v>
      </c>
      <c r="C234" s="325" t="s">
        <v>230</v>
      </c>
      <c r="D234" s="329" t="s">
        <v>139</v>
      </c>
      <c r="E234" s="329" t="s">
        <v>13</v>
      </c>
      <c r="G234" s="342" t="s">
        <v>58</v>
      </c>
      <c r="H234" s="342" t="s">
        <v>35</v>
      </c>
      <c r="I234" s="342"/>
    </row>
    <row r="235" spans="1:9" s="331" customFormat="1" hidden="1">
      <c r="A235" s="331">
        <v>460202</v>
      </c>
      <c r="B235" s="331" t="s">
        <v>233</v>
      </c>
      <c r="C235" s="325" t="s">
        <v>230</v>
      </c>
      <c r="D235" s="329" t="s">
        <v>139</v>
      </c>
      <c r="E235" s="329" t="s">
        <v>13</v>
      </c>
      <c r="G235" s="342" t="s">
        <v>58</v>
      </c>
      <c r="H235" s="342" t="s">
        <v>35</v>
      </c>
      <c r="I235" s="342"/>
    </row>
    <row r="236" spans="1:9" s="331" customFormat="1" hidden="1">
      <c r="A236" s="331">
        <v>460203</v>
      </c>
      <c r="B236" s="331" t="s">
        <v>234</v>
      </c>
      <c r="C236" s="325" t="s">
        <v>230</v>
      </c>
      <c r="D236" s="329" t="s">
        <v>139</v>
      </c>
      <c r="E236" s="329" t="s">
        <v>13</v>
      </c>
      <c r="G236" s="342" t="s">
        <v>58</v>
      </c>
      <c r="H236" s="342" t="s">
        <v>35</v>
      </c>
      <c r="I236" s="342"/>
    </row>
    <row r="237" spans="1:9" s="331" customFormat="1" hidden="1">
      <c r="A237" s="331">
        <v>460204</v>
      </c>
      <c r="B237" s="331" t="s">
        <v>235</v>
      </c>
      <c r="C237" s="325" t="s">
        <v>230</v>
      </c>
      <c r="D237" s="329" t="s">
        <v>139</v>
      </c>
      <c r="E237" s="329" t="s">
        <v>13</v>
      </c>
      <c r="G237" s="342" t="s">
        <v>58</v>
      </c>
      <c r="H237" s="342" t="s">
        <v>35</v>
      </c>
      <c r="I237" s="342"/>
    </row>
    <row r="238" spans="1:9" hidden="1">
      <c r="A238" s="331">
        <v>460300</v>
      </c>
      <c r="B238" s="325" t="s">
        <v>236</v>
      </c>
      <c r="C238" s="325" t="s">
        <v>230</v>
      </c>
      <c r="D238" s="329" t="s">
        <v>139</v>
      </c>
      <c r="E238" s="329" t="s">
        <v>13</v>
      </c>
      <c r="G238" s="328" t="s">
        <v>34</v>
      </c>
      <c r="H238" s="328" t="s">
        <v>35</v>
      </c>
      <c r="I238" s="328"/>
    </row>
    <row r="239" spans="1:9" hidden="1">
      <c r="A239" s="331">
        <v>460400</v>
      </c>
      <c r="B239" s="325" t="s">
        <v>237</v>
      </c>
      <c r="C239" s="325" t="s">
        <v>230</v>
      </c>
      <c r="D239" s="329" t="s">
        <v>139</v>
      </c>
      <c r="E239" s="329" t="s">
        <v>13</v>
      </c>
      <c r="G239" s="328" t="s">
        <v>34</v>
      </c>
      <c r="H239" s="328" t="s">
        <v>35</v>
      </c>
      <c r="I239" s="328"/>
    </row>
    <row r="240" spans="1:9" hidden="1">
      <c r="A240" s="331">
        <v>460500</v>
      </c>
      <c r="B240" s="325" t="s">
        <v>238</v>
      </c>
      <c r="C240" s="325" t="s">
        <v>230</v>
      </c>
      <c r="D240" s="329" t="s">
        <v>139</v>
      </c>
      <c r="E240" s="329" t="s">
        <v>13</v>
      </c>
      <c r="G240" s="328" t="s">
        <v>34</v>
      </c>
      <c r="H240" s="328" t="s">
        <v>35</v>
      </c>
      <c r="I240" s="328"/>
    </row>
    <row r="241" spans="1:9" hidden="1">
      <c r="A241" s="331">
        <v>460600</v>
      </c>
      <c r="B241" s="325" t="s">
        <v>239</v>
      </c>
      <c r="C241" s="325" t="s">
        <v>230</v>
      </c>
      <c r="D241" s="329" t="s">
        <v>139</v>
      </c>
      <c r="E241" s="329" t="s">
        <v>13</v>
      </c>
      <c r="G241" s="328" t="s">
        <v>34</v>
      </c>
      <c r="H241" s="328" t="s">
        <v>35</v>
      </c>
      <c r="I241" s="328"/>
    </row>
    <row r="242" spans="1:9" hidden="1">
      <c r="A242" s="331">
        <v>460610</v>
      </c>
      <c r="B242" s="325" t="s">
        <v>240</v>
      </c>
      <c r="C242" s="325" t="s">
        <v>230</v>
      </c>
      <c r="D242" s="329" t="s">
        <v>139</v>
      </c>
      <c r="E242" s="329" t="s">
        <v>13</v>
      </c>
    </row>
    <row r="243" spans="1:9" hidden="1">
      <c r="A243" s="331">
        <v>460620</v>
      </c>
      <c r="B243" s="325" t="s">
        <v>241</v>
      </c>
      <c r="C243" s="325" t="s">
        <v>230</v>
      </c>
      <c r="D243" s="329" t="s">
        <v>139</v>
      </c>
      <c r="E243" s="329" t="s">
        <v>13</v>
      </c>
    </row>
    <row r="244" spans="1:9" hidden="1">
      <c r="A244" s="331">
        <v>460630</v>
      </c>
      <c r="B244" s="325" t="s">
        <v>242</v>
      </c>
      <c r="C244" s="325" t="s">
        <v>230</v>
      </c>
      <c r="D244" s="329" t="s">
        <v>139</v>
      </c>
      <c r="E244" s="329" t="s">
        <v>13</v>
      </c>
    </row>
    <row r="245" spans="1:9" hidden="1">
      <c r="A245" s="331">
        <v>460700</v>
      </c>
      <c r="B245" s="325" t="s">
        <v>243</v>
      </c>
      <c r="C245" s="325" t="s">
        <v>230</v>
      </c>
      <c r="D245" s="329" t="s">
        <v>139</v>
      </c>
      <c r="E245" s="329" t="s">
        <v>13</v>
      </c>
      <c r="G245" s="328" t="s">
        <v>34</v>
      </c>
      <c r="H245" s="328" t="s">
        <v>35</v>
      </c>
      <c r="I245" s="328"/>
    </row>
    <row r="246" spans="1:9" hidden="1">
      <c r="A246" s="325">
        <v>460800</v>
      </c>
      <c r="B246" s="325" t="s">
        <v>244</v>
      </c>
      <c r="C246" s="325" t="s">
        <v>230</v>
      </c>
      <c r="D246" s="329" t="s">
        <v>139</v>
      </c>
      <c r="E246" s="329" t="s">
        <v>13</v>
      </c>
      <c r="G246" s="328" t="s">
        <v>34</v>
      </c>
      <c r="H246" s="328" t="s">
        <v>35</v>
      </c>
      <c r="I246" s="328"/>
    </row>
    <row r="247" spans="1:9" hidden="1">
      <c r="A247" s="331">
        <v>460810</v>
      </c>
      <c r="B247" s="325" t="s">
        <v>245</v>
      </c>
      <c r="C247" s="325" t="s">
        <v>230</v>
      </c>
      <c r="D247" s="329" t="s">
        <v>139</v>
      </c>
      <c r="E247" s="329" t="s">
        <v>13</v>
      </c>
    </row>
    <row r="248" spans="1:9" hidden="1">
      <c r="A248" s="331">
        <v>460820</v>
      </c>
      <c r="B248" s="325" t="s">
        <v>246</v>
      </c>
      <c r="C248" s="325" t="s">
        <v>230</v>
      </c>
      <c r="D248" s="329" t="s">
        <v>139</v>
      </c>
      <c r="E248" s="329" t="s">
        <v>13</v>
      </c>
    </row>
    <row r="249" spans="1:9" hidden="1">
      <c r="A249" s="331">
        <v>460830</v>
      </c>
      <c r="B249" s="325" t="s">
        <v>222</v>
      </c>
      <c r="C249" s="325" t="s">
        <v>230</v>
      </c>
      <c r="D249" s="329" t="s">
        <v>139</v>
      </c>
      <c r="E249" s="329" t="s">
        <v>13</v>
      </c>
    </row>
    <row r="250" spans="1:9" hidden="1">
      <c r="A250" s="331">
        <v>460840</v>
      </c>
      <c r="B250" s="325" t="s">
        <v>223</v>
      </c>
      <c r="C250" s="325" t="s">
        <v>230</v>
      </c>
      <c r="D250" s="329" t="s">
        <v>139</v>
      </c>
      <c r="E250" s="329" t="s">
        <v>13</v>
      </c>
    </row>
    <row r="251" spans="1:9" hidden="1">
      <c r="A251" s="331">
        <v>460850</v>
      </c>
      <c r="B251" s="325" t="s">
        <v>247</v>
      </c>
      <c r="C251" s="325" t="s">
        <v>230</v>
      </c>
      <c r="D251" s="329" t="s">
        <v>139</v>
      </c>
      <c r="E251" s="329" t="s">
        <v>13</v>
      </c>
    </row>
    <row r="252" spans="1:9" hidden="1">
      <c r="A252" s="331">
        <v>460900</v>
      </c>
      <c r="B252" s="325" t="s">
        <v>248</v>
      </c>
      <c r="C252" s="325" t="s">
        <v>230</v>
      </c>
      <c r="D252" s="329" t="s">
        <v>139</v>
      </c>
      <c r="E252" s="329" t="s">
        <v>13</v>
      </c>
      <c r="G252" s="328" t="s">
        <v>34</v>
      </c>
      <c r="H252" s="328" t="s">
        <v>35</v>
      </c>
      <c r="I252" s="328"/>
    </row>
    <row r="253" spans="1:9" hidden="1">
      <c r="A253" s="68">
        <v>460901</v>
      </c>
      <c r="B253" s="68" t="s">
        <v>249</v>
      </c>
      <c r="C253" s="325" t="s">
        <v>230</v>
      </c>
      <c r="D253" s="329" t="s">
        <v>139</v>
      </c>
      <c r="E253" s="329" t="s">
        <v>13</v>
      </c>
    </row>
    <row r="254" spans="1:9" hidden="1">
      <c r="A254" s="68">
        <v>460902</v>
      </c>
      <c r="B254" s="68" t="s">
        <v>250</v>
      </c>
      <c r="C254" s="325" t="s">
        <v>230</v>
      </c>
      <c r="D254" s="329" t="s">
        <v>139</v>
      </c>
      <c r="E254" s="329" t="s">
        <v>13</v>
      </c>
    </row>
    <row r="255" spans="1:9" hidden="1">
      <c r="A255" s="68">
        <v>460903</v>
      </c>
      <c r="B255" s="68" t="s">
        <v>251</v>
      </c>
      <c r="C255" s="325" t="s">
        <v>230</v>
      </c>
      <c r="D255" s="329" t="s">
        <v>139</v>
      </c>
      <c r="E255" s="329" t="s">
        <v>13</v>
      </c>
    </row>
    <row r="256" spans="1:9" hidden="1">
      <c r="A256" s="68">
        <v>460904</v>
      </c>
      <c r="B256" s="68" t="s">
        <v>252</v>
      </c>
      <c r="C256" s="325" t="s">
        <v>230</v>
      </c>
      <c r="D256" s="329" t="s">
        <v>139</v>
      </c>
      <c r="E256" s="329" t="s">
        <v>13</v>
      </c>
    </row>
    <row r="257" spans="1:8" hidden="1">
      <c r="A257" s="68">
        <v>460905</v>
      </c>
      <c r="B257" s="68" t="s">
        <v>253</v>
      </c>
      <c r="C257" s="325" t="s">
        <v>230</v>
      </c>
      <c r="D257" s="329" t="s">
        <v>139</v>
      </c>
      <c r="E257" s="329" t="s">
        <v>13</v>
      </c>
    </row>
    <row r="258" spans="1:8" hidden="1">
      <c r="A258" s="68">
        <v>460906</v>
      </c>
      <c r="B258" s="68" t="s">
        <v>254</v>
      </c>
      <c r="C258" s="325" t="s">
        <v>230</v>
      </c>
      <c r="D258" s="329" t="s">
        <v>139</v>
      </c>
      <c r="E258" s="329" t="s">
        <v>13</v>
      </c>
    </row>
    <row r="259" spans="1:8" hidden="1">
      <c r="A259" s="68">
        <v>460907</v>
      </c>
      <c r="B259" s="68" t="s">
        <v>255</v>
      </c>
      <c r="C259" s="325" t="s">
        <v>230</v>
      </c>
      <c r="D259" s="329" t="s">
        <v>139</v>
      </c>
      <c r="E259" s="329" t="s">
        <v>13</v>
      </c>
    </row>
    <row r="260" spans="1:8" hidden="1">
      <c r="A260" s="68">
        <v>460908</v>
      </c>
      <c r="B260" s="68" t="s">
        <v>256</v>
      </c>
      <c r="C260" s="325" t="s">
        <v>230</v>
      </c>
      <c r="D260" s="329" t="s">
        <v>139</v>
      </c>
      <c r="E260" s="329" t="s">
        <v>13</v>
      </c>
    </row>
    <row r="261" spans="1:8" hidden="1">
      <c r="A261" s="68">
        <v>460909</v>
      </c>
      <c r="B261" s="68" t="s">
        <v>257</v>
      </c>
      <c r="C261" s="325" t="s">
        <v>230</v>
      </c>
      <c r="D261" s="329" t="s">
        <v>139</v>
      </c>
      <c r="E261" s="329" t="s">
        <v>13</v>
      </c>
    </row>
    <row r="262" spans="1:8" hidden="1">
      <c r="A262" s="68">
        <v>460910</v>
      </c>
      <c r="B262" s="68" t="s">
        <v>258</v>
      </c>
      <c r="C262" s="325" t="s">
        <v>230</v>
      </c>
      <c r="D262" s="329" t="s">
        <v>139</v>
      </c>
      <c r="E262" s="329" t="s">
        <v>13</v>
      </c>
    </row>
    <row r="263" spans="1:8" hidden="1">
      <c r="A263" s="68">
        <v>460911</v>
      </c>
      <c r="B263" s="68" t="s">
        <v>259</v>
      </c>
      <c r="C263" s="325" t="s">
        <v>230</v>
      </c>
      <c r="D263" s="329" t="s">
        <v>139</v>
      </c>
      <c r="E263" s="329" t="s">
        <v>13</v>
      </c>
    </row>
    <row r="264" spans="1:8" hidden="1">
      <c r="A264" s="68">
        <v>460912</v>
      </c>
      <c r="B264" s="68" t="s">
        <v>260</v>
      </c>
      <c r="C264" s="325" t="s">
        <v>230</v>
      </c>
      <c r="D264" s="329" t="s">
        <v>139</v>
      </c>
      <c r="E264" s="329" t="s">
        <v>13</v>
      </c>
    </row>
    <row r="265" spans="1:8" hidden="1">
      <c r="A265" s="68">
        <v>460913</v>
      </c>
      <c r="B265" s="68" t="s">
        <v>261</v>
      </c>
      <c r="C265" s="325" t="s">
        <v>230</v>
      </c>
      <c r="D265" s="329" t="s">
        <v>139</v>
      </c>
      <c r="E265" s="329" t="s">
        <v>13</v>
      </c>
    </row>
    <row r="266" spans="1:8" hidden="1">
      <c r="A266" s="68">
        <v>460914</v>
      </c>
      <c r="B266" s="68" t="s">
        <v>262</v>
      </c>
      <c r="C266" s="325" t="s">
        <v>230</v>
      </c>
      <c r="D266" s="329" t="s">
        <v>139</v>
      </c>
      <c r="E266" s="329" t="s">
        <v>13</v>
      </c>
    </row>
    <row r="267" spans="1:8" hidden="1">
      <c r="A267" s="68">
        <v>460915</v>
      </c>
      <c r="B267" s="68" t="s">
        <v>263</v>
      </c>
      <c r="C267" s="325" t="s">
        <v>230</v>
      </c>
      <c r="D267" s="329" t="s">
        <v>139</v>
      </c>
      <c r="E267" s="329" t="s">
        <v>13</v>
      </c>
    </row>
    <row r="268" spans="1:8" hidden="1">
      <c r="A268" s="68">
        <v>460916</v>
      </c>
      <c r="B268" s="68" t="s">
        <v>264</v>
      </c>
      <c r="C268" s="325" t="s">
        <v>230</v>
      </c>
      <c r="D268" s="329" t="s">
        <v>139</v>
      </c>
      <c r="E268" s="329" t="s">
        <v>13</v>
      </c>
    </row>
    <row r="269" spans="1:8" hidden="1">
      <c r="A269" s="68">
        <v>460917</v>
      </c>
      <c r="B269" s="68" t="s">
        <v>265</v>
      </c>
      <c r="C269" s="325" t="s">
        <v>230</v>
      </c>
      <c r="D269" s="329" t="s">
        <v>139</v>
      </c>
      <c r="E269" s="329" t="s">
        <v>13</v>
      </c>
    </row>
    <row r="270" spans="1:8" hidden="1">
      <c r="A270" s="325">
        <v>461000</v>
      </c>
      <c r="B270" s="325" t="s">
        <v>266</v>
      </c>
      <c r="D270" s="329" t="e">
        <v>#N/A</v>
      </c>
      <c r="E270" s="329" t="e">
        <v>#N/A</v>
      </c>
      <c r="G270" s="325" t="s">
        <v>54</v>
      </c>
      <c r="H270" s="325" t="s">
        <v>35</v>
      </c>
    </row>
    <row r="271" spans="1:8" hidden="1">
      <c r="A271" s="325">
        <v>461010</v>
      </c>
      <c r="B271" s="341" t="s">
        <v>267</v>
      </c>
      <c r="C271" s="341"/>
      <c r="D271" s="329" t="e">
        <v>#N/A</v>
      </c>
      <c r="E271" s="329" t="e">
        <v>#N/A</v>
      </c>
    </row>
    <row r="272" spans="1:8" hidden="1">
      <c r="A272" s="325">
        <v>461020</v>
      </c>
      <c r="B272" s="341" t="s">
        <v>268</v>
      </c>
      <c r="C272" s="341"/>
      <c r="D272" s="329" t="e">
        <v>#N/A</v>
      </c>
      <c r="E272" s="329" t="e">
        <v>#N/A</v>
      </c>
    </row>
    <row r="273" spans="1:9" hidden="1">
      <c r="A273" s="325">
        <v>461030</v>
      </c>
      <c r="B273" s="341" t="s">
        <v>269</v>
      </c>
      <c r="C273" s="341"/>
      <c r="D273" s="329" t="e">
        <v>#N/A</v>
      </c>
      <c r="E273" s="329" t="e">
        <v>#N/A</v>
      </c>
    </row>
    <row r="274" spans="1:9" hidden="1">
      <c r="A274" s="325">
        <v>461040</v>
      </c>
      <c r="B274" s="325" t="s">
        <v>270</v>
      </c>
      <c r="D274" s="329" t="e">
        <v>#N/A</v>
      </c>
      <c r="E274" s="329" t="e">
        <v>#N/A</v>
      </c>
    </row>
    <row r="275" spans="1:9" hidden="1">
      <c r="A275" s="325">
        <v>461050</v>
      </c>
      <c r="B275" s="325" t="s">
        <v>271</v>
      </c>
      <c r="D275" s="329" t="e">
        <v>#N/A</v>
      </c>
      <c r="E275" s="329" t="e">
        <v>#N/A</v>
      </c>
    </row>
    <row r="276" spans="1:9" hidden="1">
      <c r="A276" s="325">
        <v>461060</v>
      </c>
      <c r="B276" s="325" t="s">
        <v>272</v>
      </c>
      <c r="D276" s="329" t="e">
        <v>#N/A</v>
      </c>
      <c r="E276" s="329" t="e">
        <v>#N/A</v>
      </c>
    </row>
    <row r="277" spans="1:9" hidden="1">
      <c r="A277" s="325">
        <v>461100</v>
      </c>
      <c r="B277" s="325" t="s">
        <v>273</v>
      </c>
      <c r="D277" s="329" t="e">
        <v>#N/A</v>
      </c>
      <c r="E277" s="329" t="e">
        <v>#N/A</v>
      </c>
      <c r="G277" s="328" t="s">
        <v>34</v>
      </c>
      <c r="H277" s="328" t="s">
        <v>35</v>
      </c>
      <c r="I277" s="328"/>
    </row>
    <row r="278" spans="1:9" hidden="1">
      <c r="A278" s="325">
        <v>461200</v>
      </c>
      <c r="B278" s="325" t="s">
        <v>274</v>
      </c>
      <c r="D278" s="329" t="e">
        <v>#N/A</v>
      </c>
      <c r="E278" s="329" t="e">
        <v>#N/A</v>
      </c>
      <c r="G278" s="328" t="s">
        <v>34</v>
      </c>
      <c r="H278" s="328" t="s">
        <v>35</v>
      </c>
      <c r="I278" s="328"/>
    </row>
    <row r="279" spans="1:9" s="329" customFormat="1" hidden="1">
      <c r="A279" s="330">
        <v>470000</v>
      </c>
      <c r="B279" s="329" t="s">
        <v>157</v>
      </c>
      <c r="C279" s="325" t="s">
        <v>275</v>
      </c>
      <c r="D279" s="329" t="s">
        <v>14</v>
      </c>
      <c r="E279" s="329" t="s">
        <v>13</v>
      </c>
      <c r="G279" s="325" t="s">
        <v>46</v>
      </c>
      <c r="H279" s="325" t="s">
        <v>47</v>
      </c>
      <c r="I279" s="325"/>
    </row>
    <row r="280" spans="1:9" hidden="1">
      <c r="A280" s="331">
        <v>470100</v>
      </c>
      <c r="B280" s="325" t="s">
        <v>276</v>
      </c>
      <c r="C280" s="325" t="s">
        <v>275</v>
      </c>
      <c r="D280" s="329" t="s">
        <v>14</v>
      </c>
      <c r="E280" s="329" t="s">
        <v>13</v>
      </c>
    </row>
    <row r="281" spans="1:9" hidden="1">
      <c r="A281" s="331">
        <v>470200</v>
      </c>
      <c r="B281" s="325" t="s">
        <v>277</v>
      </c>
      <c r="C281" s="325" t="s">
        <v>275</v>
      </c>
      <c r="D281" s="329" t="s">
        <v>14</v>
      </c>
      <c r="E281" s="329" t="s">
        <v>13</v>
      </c>
    </row>
    <row r="282" spans="1:9" hidden="1">
      <c r="A282" s="331">
        <v>470210</v>
      </c>
      <c r="B282" s="325" t="s">
        <v>278</v>
      </c>
      <c r="C282" s="325" t="s">
        <v>275</v>
      </c>
      <c r="D282" s="329" t="s">
        <v>14</v>
      </c>
      <c r="E282" s="329" t="s">
        <v>13</v>
      </c>
    </row>
    <row r="283" spans="1:9" hidden="1">
      <c r="A283" s="331">
        <v>470220</v>
      </c>
      <c r="B283" s="325" t="s">
        <v>279</v>
      </c>
      <c r="C283" s="325" t="s">
        <v>275</v>
      </c>
      <c r="D283" s="329" t="s">
        <v>14</v>
      </c>
      <c r="E283" s="329" t="s">
        <v>13</v>
      </c>
    </row>
    <row r="284" spans="1:9" hidden="1">
      <c r="A284" s="331">
        <v>470230</v>
      </c>
      <c r="B284" s="325" t="s">
        <v>280</v>
      </c>
      <c r="C284" s="325" t="s">
        <v>275</v>
      </c>
      <c r="D284" s="329" t="s">
        <v>14</v>
      </c>
      <c r="E284" s="329" t="s">
        <v>13</v>
      </c>
    </row>
    <row r="285" spans="1:9" hidden="1">
      <c r="A285" s="331">
        <v>470300</v>
      </c>
      <c r="B285" s="325" t="s">
        <v>281</v>
      </c>
      <c r="C285" s="325" t="s">
        <v>275</v>
      </c>
      <c r="D285" s="329" t="s">
        <v>14</v>
      </c>
      <c r="E285" s="329" t="s">
        <v>13</v>
      </c>
    </row>
    <row r="286" spans="1:9" hidden="1">
      <c r="A286" s="331">
        <v>470400</v>
      </c>
      <c r="B286" s="325" t="s">
        <v>282</v>
      </c>
      <c r="C286" s="325" t="s">
        <v>275</v>
      </c>
      <c r="D286" s="329" t="s">
        <v>14</v>
      </c>
      <c r="E286" s="329" t="s">
        <v>13</v>
      </c>
    </row>
    <row r="287" spans="1:9" hidden="1">
      <c r="A287" s="331">
        <v>470410</v>
      </c>
      <c r="B287" s="325" t="s">
        <v>283</v>
      </c>
      <c r="C287" s="325" t="s">
        <v>275</v>
      </c>
      <c r="D287" s="329" t="s">
        <v>14</v>
      </c>
      <c r="E287" s="329" t="s">
        <v>13</v>
      </c>
    </row>
    <row r="288" spans="1:9" hidden="1">
      <c r="A288" s="331">
        <v>470420</v>
      </c>
      <c r="B288" s="325" t="s">
        <v>284</v>
      </c>
      <c r="C288" s="325" t="s">
        <v>275</v>
      </c>
      <c r="D288" s="329" t="s">
        <v>14</v>
      </c>
      <c r="E288" s="329" t="s">
        <v>13</v>
      </c>
    </row>
    <row r="289" spans="1:9" hidden="1">
      <c r="A289" s="331">
        <v>470430</v>
      </c>
      <c r="B289" s="325" t="s">
        <v>285</v>
      </c>
      <c r="C289" s="325" t="s">
        <v>275</v>
      </c>
      <c r="D289" s="329" t="s">
        <v>14</v>
      </c>
      <c r="E289" s="329" t="s">
        <v>13</v>
      </c>
    </row>
    <row r="290" spans="1:9" hidden="1">
      <c r="A290" s="331">
        <v>470500</v>
      </c>
      <c r="B290" s="325" t="s">
        <v>286</v>
      </c>
      <c r="C290" s="325" t="s">
        <v>275</v>
      </c>
      <c r="D290" s="329" t="s">
        <v>14</v>
      </c>
      <c r="E290" s="329" t="s">
        <v>13</v>
      </c>
    </row>
    <row r="291" spans="1:9" hidden="1">
      <c r="A291" s="331">
        <v>470510</v>
      </c>
      <c r="B291" s="325" t="s">
        <v>287</v>
      </c>
      <c r="C291" s="325" t="s">
        <v>275</v>
      </c>
      <c r="D291" s="329" t="s">
        <v>14</v>
      </c>
      <c r="E291" s="329" t="s">
        <v>13</v>
      </c>
    </row>
    <row r="292" spans="1:9" hidden="1">
      <c r="A292" s="331">
        <v>470520</v>
      </c>
      <c r="B292" s="325" t="s">
        <v>288</v>
      </c>
      <c r="C292" s="325" t="s">
        <v>275</v>
      </c>
      <c r="D292" s="329" t="s">
        <v>14</v>
      </c>
      <c r="E292" s="329" t="s">
        <v>13</v>
      </c>
    </row>
    <row r="293" spans="1:9" hidden="1">
      <c r="A293" s="331">
        <v>470530</v>
      </c>
      <c r="B293" s="325" t="s">
        <v>289</v>
      </c>
      <c r="C293" s="325" t="s">
        <v>275</v>
      </c>
      <c r="D293" s="329" t="s">
        <v>14</v>
      </c>
      <c r="E293" s="329" t="s">
        <v>13</v>
      </c>
    </row>
    <row r="294" spans="1:9" hidden="1">
      <c r="A294" s="331">
        <v>470540</v>
      </c>
      <c r="B294" s="325" t="s">
        <v>290</v>
      </c>
      <c r="C294" s="325" t="s">
        <v>275</v>
      </c>
      <c r="D294" s="329" t="s">
        <v>14</v>
      </c>
      <c r="E294" s="329" t="s">
        <v>13</v>
      </c>
    </row>
    <row r="295" spans="1:9" hidden="1">
      <c r="A295" s="331">
        <v>470550</v>
      </c>
      <c r="B295" s="325" t="s">
        <v>291</v>
      </c>
      <c r="C295" s="325" t="s">
        <v>275</v>
      </c>
      <c r="D295" s="329" t="s">
        <v>14</v>
      </c>
      <c r="E295" s="329" t="s">
        <v>13</v>
      </c>
    </row>
    <row r="296" spans="1:9" hidden="1">
      <c r="A296" s="331">
        <v>470560</v>
      </c>
      <c r="B296" s="325" t="s">
        <v>224</v>
      </c>
      <c r="C296" s="325" t="s">
        <v>275</v>
      </c>
      <c r="D296" s="329" t="s">
        <v>14</v>
      </c>
      <c r="E296" s="329" t="s">
        <v>13</v>
      </c>
    </row>
    <row r="297" spans="1:9" s="329" customFormat="1" hidden="1">
      <c r="A297" s="330">
        <v>480000</v>
      </c>
      <c r="B297" s="329" t="s">
        <v>292</v>
      </c>
      <c r="C297" s="325" t="s">
        <v>293</v>
      </c>
      <c r="D297" s="329" t="s">
        <v>139</v>
      </c>
      <c r="E297" s="329" t="s">
        <v>13</v>
      </c>
      <c r="G297" s="325" t="s">
        <v>34</v>
      </c>
      <c r="H297" s="325" t="s">
        <v>35</v>
      </c>
      <c r="I297" s="325"/>
    </row>
    <row r="298" spans="1:9" s="329" customFormat="1" hidden="1">
      <c r="A298" s="325">
        <v>480100</v>
      </c>
      <c r="B298" s="331" t="s">
        <v>294</v>
      </c>
      <c r="C298" s="325" t="s">
        <v>293</v>
      </c>
      <c r="D298" s="329" t="s">
        <v>139</v>
      </c>
      <c r="E298" s="329" t="s">
        <v>13</v>
      </c>
      <c r="G298" s="325"/>
      <c r="H298" s="325"/>
      <c r="I298" s="325"/>
    </row>
    <row r="299" spans="1:9" s="329" customFormat="1" hidden="1">
      <c r="A299" s="331">
        <v>480110</v>
      </c>
      <c r="B299" s="325" t="s">
        <v>295</v>
      </c>
      <c r="C299" s="325" t="s">
        <v>293</v>
      </c>
      <c r="D299" s="329" t="s">
        <v>139</v>
      </c>
      <c r="E299" s="329" t="s">
        <v>13</v>
      </c>
      <c r="G299" s="325"/>
      <c r="H299" s="325"/>
      <c r="I299" s="325"/>
    </row>
    <row r="300" spans="1:9" s="329" customFormat="1" hidden="1">
      <c r="A300" s="331">
        <v>480120</v>
      </c>
      <c r="B300" s="325" t="s">
        <v>296</v>
      </c>
      <c r="C300" s="325" t="s">
        <v>293</v>
      </c>
      <c r="D300" s="329" t="s">
        <v>139</v>
      </c>
      <c r="E300" s="329" t="s">
        <v>13</v>
      </c>
      <c r="G300" s="325"/>
      <c r="H300" s="325"/>
      <c r="I300" s="325"/>
    </row>
    <row r="301" spans="1:9" s="329" customFormat="1" hidden="1">
      <c r="A301" s="331">
        <v>480130</v>
      </c>
      <c r="B301" s="325" t="s">
        <v>297</v>
      </c>
      <c r="C301" s="325" t="s">
        <v>293</v>
      </c>
      <c r="D301" s="329" t="s">
        <v>139</v>
      </c>
      <c r="E301" s="329" t="s">
        <v>13</v>
      </c>
      <c r="G301" s="325"/>
      <c r="H301" s="325"/>
      <c r="I301" s="325"/>
    </row>
    <row r="302" spans="1:9" s="329" customFormat="1" hidden="1">
      <c r="A302" s="331">
        <v>480140</v>
      </c>
      <c r="B302" s="325" t="s">
        <v>298</v>
      </c>
      <c r="C302" s="325" t="s">
        <v>293</v>
      </c>
      <c r="D302" s="329" t="s">
        <v>139</v>
      </c>
      <c r="E302" s="329" t="s">
        <v>13</v>
      </c>
      <c r="G302" s="325"/>
      <c r="H302" s="325"/>
      <c r="I302" s="325"/>
    </row>
    <row r="303" spans="1:9" s="329" customFormat="1" hidden="1">
      <c r="A303" s="331">
        <v>480200</v>
      </c>
      <c r="B303" s="325" t="s">
        <v>299</v>
      </c>
      <c r="C303" s="325" t="s">
        <v>293</v>
      </c>
      <c r="D303" s="329" t="s">
        <v>139</v>
      </c>
      <c r="E303" s="329" t="s">
        <v>13</v>
      </c>
      <c r="G303" s="325"/>
      <c r="H303" s="325"/>
      <c r="I303" s="325"/>
    </row>
    <row r="304" spans="1:9" s="329" customFormat="1" hidden="1">
      <c r="A304" s="331">
        <v>480210</v>
      </c>
      <c r="B304" s="325" t="s">
        <v>300</v>
      </c>
      <c r="C304" s="325" t="s">
        <v>293</v>
      </c>
      <c r="D304" s="329" t="s">
        <v>139</v>
      </c>
      <c r="E304" s="329" t="s">
        <v>13</v>
      </c>
      <c r="G304" s="325"/>
      <c r="H304" s="325"/>
      <c r="I304" s="325"/>
    </row>
    <row r="305" spans="1:9" s="329" customFormat="1" hidden="1">
      <c r="A305" s="331">
        <v>480211</v>
      </c>
      <c r="B305" s="331" t="s">
        <v>301</v>
      </c>
      <c r="C305" s="325" t="s">
        <v>293</v>
      </c>
      <c r="D305" s="329" t="s">
        <v>139</v>
      </c>
      <c r="E305" s="329" t="s">
        <v>13</v>
      </c>
      <c r="G305" s="325" t="s">
        <v>91</v>
      </c>
      <c r="H305" s="325" t="s">
        <v>35</v>
      </c>
      <c r="I305" s="325"/>
    </row>
    <row r="306" spans="1:9" s="332" customFormat="1" hidden="1">
      <c r="A306" s="331">
        <v>480212</v>
      </c>
      <c r="B306" s="331" t="s">
        <v>302</v>
      </c>
      <c r="C306" s="325" t="s">
        <v>293</v>
      </c>
      <c r="D306" s="329" t="s">
        <v>139</v>
      </c>
      <c r="E306" s="329" t="s">
        <v>13</v>
      </c>
      <c r="G306" s="331" t="s">
        <v>58</v>
      </c>
      <c r="H306" s="331" t="s">
        <v>35</v>
      </c>
      <c r="I306" s="331"/>
    </row>
    <row r="307" spans="1:9" s="329" customFormat="1" hidden="1">
      <c r="A307" s="331">
        <v>480220</v>
      </c>
      <c r="B307" s="325" t="s">
        <v>303</v>
      </c>
      <c r="C307" s="325" t="s">
        <v>293</v>
      </c>
      <c r="D307" s="329" t="s">
        <v>139</v>
      </c>
      <c r="E307" s="329" t="s">
        <v>13</v>
      </c>
      <c r="G307" s="325"/>
      <c r="H307" s="325"/>
      <c r="I307" s="325"/>
    </row>
    <row r="308" spans="1:9" s="329" customFormat="1" hidden="1">
      <c r="A308" s="331">
        <v>480221</v>
      </c>
      <c r="B308" s="331" t="s">
        <v>304</v>
      </c>
      <c r="C308" s="325" t="s">
        <v>293</v>
      </c>
      <c r="D308" s="329" t="s">
        <v>139</v>
      </c>
      <c r="E308" s="329" t="s">
        <v>13</v>
      </c>
      <c r="G308" s="325" t="s">
        <v>91</v>
      </c>
      <c r="H308" s="325" t="s">
        <v>35</v>
      </c>
      <c r="I308" s="325"/>
    </row>
    <row r="309" spans="1:9" s="329" customFormat="1" hidden="1">
      <c r="A309" s="331">
        <v>480300</v>
      </c>
      <c r="B309" s="325" t="s">
        <v>305</v>
      </c>
      <c r="C309" s="325" t="s">
        <v>293</v>
      </c>
      <c r="D309" s="329" t="s">
        <v>139</v>
      </c>
      <c r="E309" s="329" t="s">
        <v>13</v>
      </c>
      <c r="G309" s="325"/>
      <c r="H309" s="325"/>
      <c r="I309" s="325"/>
    </row>
    <row r="310" spans="1:9" s="329" customFormat="1" hidden="1">
      <c r="A310" s="331">
        <v>480310</v>
      </c>
      <c r="B310" s="325" t="s">
        <v>306</v>
      </c>
      <c r="C310" s="325" t="s">
        <v>293</v>
      </c>
      <c r="D310" s="329" t="s">
        <v>139</v>
      </c>
      <c r="E310" s="329" t="s">
        <v>13</v>
      </c>
      <c r="G310" s="325"/>
      <c r="H310" s="325"/>
      <c r="I310" s="325"/>
    </row>
    <row r="311" spans="1:9" s="329" customFormat="1" hidden="1">
      <c r="A311" s="331">
        <v>480311</v>
      </c>
      <c r="B311" s="331" t="s">
        <v>307</v>
      </c>
      <c r="C311" s="325" t="s">
        <v>293</v>
      </c>
      <c r="D311" s="329" t="s">
        <v>139</v>
      </c>
      <c r="E311" s="329" t="s">
        <v>13</v>
      </c>
      <c r="G311" s="325" t="s">
        <v>58</v>
      </c>
      <c r="H311" s="325" t="s">
        <v>35</v>
      </c>
      <c r="I311" s="325"/>
    </row>
    <row r="312" spans="1:9" s="329" customFormat="1" hidden="1">
      <c r="A312" s="331">
        <v>480320</v>
      </c>
      <c r="B312" s="325" t="s">
        <v>308</v>
      </c>
      <c r="C312" s="325" t="s">
        <v>293</v>
      </c>
      <c r="D312" s="329" t="s">
        <v>139</v>
      </c>
      <c r="E312" s="329" t="s">
        <v>13</v>
      </c>
      <c r="G312" s="325"/>
      <c r="H312" s="325"/>
      <c r="I312" s="325"/>
    </row>
    <row r="313" spans="1:9" s="329" customFormat="1" hidden="1">
      <c r="A313" s="331">
        <v>480400</v>
      </c>
      <c r="B313" s="325" t="s">
        <v>309</v>
      </c>
      <c r="C313" s="325" t="s">
        <v>293</v>
      </c>
      <c r="D313" s="329" t="s">
        <v>139</v>
      </c>
      <c r="E313" s="329" t="s">
        <v>13</v>
      </c>
      <c r="G313" s="325"/>
      <c r="H313" s="325"/>
      <c r="I313" s="325"/>
    </row>
    <row r="314" spans="1:9" s="329" customFormat="1" hidden="1">
      <c r="A314" s="331">
        <v>480410</v>
      </c>
      <c r="B314" s="325" t="s">
        <v>310</v>
      </c>
      <c r="C314" s="325" t="s">
        <v>293</v>
      </c>
      <c r="D314" s="329" t="s">
        <v>139</v>
      </c>
      <c r="E314" s="329" t="s">
        <v>13</v>
      </c>
      <c r="G314" s="325"/>
      <c r="H314" s="325"/>
      <c r="I314" s="325"/>
    </row>
    <row r="315" spans="1:9" s="332" customFormat="1" hidden="1">
      <c r="A315" s="331">
        <v>480411</v>
      </c>
      <c r="B315" s="331" t="s">
        <v>311</v>
      </c>
      <c r="C315" s="325" t="s">
        <v>293</v>
      </c>
      <c r="D315" s="329" t="s">
        <v>139</v>
      </c>
      <c r="E315" s="329" t="s">
        <v>13</v>
      </c>
      <c r="G315" s="331" t="s">
        <v>58</v>
      </c>
      <c r="H315" s="331" t="s">
        <v>35</v>
      </c>
      <c r="I315" s="331"/>
    </row>
    <row r="316" spans="1:9" s="329" customFormat="1" hidden="1">
      <c r="A316" s="331">
        <v>480420</v>
      </c>
      <c r="B316" s="325" t="s">
        <v>312</v>
      </c>
      <c r="C316" s="325" t="s">
        <v>293</v>
      </c>
      <c r="D316" s="329" t="s">
        <v>139</v>
      </c>
      <c r="E316" s="329" t="s">
        <v>13</v>
      </c>
      <c r="G316" s="325"/>
      <c r="H316" s="325"/>
      <c r="I316" s="325"/>
    </row>
    <row r="317" spans="1:9" s="329" customFormat="1" hidden="1">
      <c r="A317" s="331">
        <v>480500</v>
      </c>
      <c r="B317" s="325" t="s">
        <v>313</v>
      </c>
      <c r="C317" s="325" t="s">
        <v>293</v>
      </c>
      <c r="D317" s="329" t="s">
        <v>139</v>
      </c>
      <c r="E317" s="329" t="s">
        <v>13</v>
      </c>
      <c r="G317" s="325"/>
      <c r="H317" s="325"/>
      <c r="I317" s="325"/>
    </row>
    <row r="318" spans="1:9" s="329" customFormat="1" hidden="1">
      <c r="A318" s="325">
        <v>480600</v>
      </c>
      <c r="B318" s="325" t="s">
        <v>314</v>
      </c>
      <c r="C318" s="325" t="s">
        <v>293</v>
      </c>
      <c r="D318" s="329" t="s">
        <v>139</v>
      </c>
      <c r="E318" s="329" t="s">
        <v>13</v>
      </c>
      <c r="G318" s="325"/>
      <c r="H318" s="325"/>
      <c r="I318" s="325"/>
    </row>
    <row r="319" spans="1:9" s="329" customFormat="1" hidden="1">
      <c r="A319" s="325">
        <v>480610</v>
      </c>
      <c r="B319" s="325" t="s">
        <v>315</v>
      </c>
      <c r="C319" s="325" t="s">
        <v>293</v>
      </c>
      <c r="D319" s="329" t="s">
        <v>139</v>
      </c>
      <c r="E319" s="329" t="s">
        <v>13</v>
      </c>
      <c r="G319" s="325"/>
      <c r="H319" s="325"/>
      <c r="I319" s="325"/>
    </row>
    <row r="320" spans="1:9" s="329" customFormat="1" hidden="1">
      <c r="A320" s="331">
        <v>480620</v>
      </c>
      <c r="B320" s="325" t="s">
        <v>316</v>
      </c>
      <c r="C320" s="325" t="s">
        <v>293</v>
      </c>
      <c r="D320" s="329" t="s">
        <v>139</v>
      </c>
      <c r="E320" s="329" t="s">
        <v>13</v>
      </c>
      <c r="G320" s="325"/>
      <c r="H320" s="325"/>
      <c r="I320" s="325"/>
    </row>
    <row r="321" spans="1:9" s="329" customFormat="1" hidden="1">
      <c r="A321" s="331">
        <v>480630</v>
      </c>
      <c r="B321" s="325" t="s">
        <v>317</v>
      </c>
      <c r="C321" s="325" t="s">
        <v>293</v>
      </c>
      <c r="D321" s="329" t="s">
        <v>139</v>
      </c>
      <c r="E321" s="329" t="s">
        <v>13</v>
      </c>
      <c r="G321" s="325"/>
      <c r="H321" s="325"/>
      <c r="I321" s="325"/>
    </row>
    <row r="322" spans="1:9" s="329" customFormat="1" hidden="1">
      <c r="A322" s="331">
        <v>480640</v>
      </c>
      <c r="B322" s="325" t="s">
        <v>318</v>
      </c>
      <c r="C322" s="325" t="s">
        <v>293</v>
      </c>
      <c r="D322" s="329" t="s">
        <v>139</v>
      </c>
      <c r="E322" s="329" t="s">
        <v>13</v>
      </c>
      <c r="G322" s="325"/>
      <c r="H322" s="325"/>
      <c r="I322" s="325"/>
    </row>
    <row r="323" spans="1:9" s="329" customFormat="1" hidden="1">
      <c r="A323" s="330">
        <v>490000</v>
      </c>
      <c r="B323" s="329" t="s">
        <v>319</v>
      </c>
      <c r="G323" s="331" t="s">
        <v>52</v>
      </c>
      <c r="H323" s="331" t="s">
        <v>35</v>
      </c>
      <c r="I323" s="331"/>
    </row>
    <row r="324" spans="1:9" s="329" customFormat="1" hidden="1">
      <c r="A324" s="331">
        <v>490100</v>
      </c>
      <c r="B324" s="331" t="s">
        <v>320</v>
      </c>
      <c r="C324" s="325" t="s">
        <v>321</v>
      </c>
      <c r="D324" s="329" t="s">
        <v>139</v>
      </c>
      <c r="E324" s="329" t="s">
        <v>13</v>
      </c>
      <c r="F324" s="332"/>
      <c r="G324" s="331"/>
      <c r="H324" s="331"/>
      <c r="I324" s="331"/>
    </row>
    <row r="325" spans="1:9" s="329" customFormat="1" hidden="1">
      <c r="A325" s="331">
        <v>490200</v>
      </c>
      <c r="B325" s="331" t="s">
        <v>322</v>
      </c>
      <c r="C325" s="325" t="s">
        <v>321</v>
      </c>
      <c r="D325" s="329" t="s">
        <v>139</v>
      </c>
      <c r="E325" s="329" t="s">
        <v>13</v>
      </c>
      <c r="F325" s="332"/>
      <c r="G325" s="331"/>
      <c r="H325" s="331"/>
      <c r="I325" s="331"/>
    </row>
    <row r="326" spans="1:9" s="329" customFormat="1" hidden="1">
      <c r="A326" s="331">
        <v>490300</v>
      </c>
      <c r="B326" s="331" t="s">
        <v>323</v>
      </c>
      <c r="C326" s="325" t="s">
        <v>321</v>
      </c>
      <c r="D326" s="329" t="s">
        <v>139</v>
      </c>
      <c r="E326" s="329" t="s">
        <v>13</v>
      </c>
      <c r="F326" s="332"/>
      <c r="G326" s="331"/>
      <c r="H326" s="331"/>
      <c r="I326" s="331"/>
    </row>
    <row r="327" spans="1:9" s="329" customFormat="1" hidden="1">
      <c r="A327" s="331">
        <v>490400</v>
      </c>
      <c r="B327" s="331" t="s">
        <v>324</v>
      </c>
      <c r="C327" s="325" t="s">
        <v>321</v>
      </c>
      <c r="D327" s="329" t="s">
        <v>139</v>
      </c>
      <c r="E327" s="329" t="s">
        <v>13</v>
      </c>
      <c r="F327" s="332"/>
      <c r="G327" s="331"/>
      <c r="H327" s="331"/>
      <c r="I327" s="331"/>
    </row>
    <row r="328" spans="1:9" s="329" customFormat="1" hidden="1">
      <c r="A328" s="331">
        <v>490410</v>
      </c>
      <c r="B328" s="331" t="s">
        <v>325</v>
      </c>
      <c r="C328" s="325" t="s">
        <v>321</v>
      </c>
      <c r="D328" s="329" t="s">
        <v>139</v>
      </c>
      <c r="E328" s="329" t="s">
        <v>13</v>
      </c>
      <c r="F328" s="332"/>
      <c r="G328" s="331"/>
      <c r="H328" s="331"/>
      <c r="I328" s="331"/>
    </row>
    <row r="329" spans="1:9" s="329" customFormat="1" hidden="1">
      <c r="A329" s="331">
        <v>490420</v>
      </c>
      <c r="B329" s="331" t="s">
        <v>326</v>
      </c>
      <c r="C329" s="325" t="s">
        <v>321</v>
      </c>
      <c r="D329" s="329" t="s">
        <v>139</v>
      </c>
      <c r="E329" s="329" t="s">
        <v>13</v>
      </c>
      <c r="F329" s="332"/>
      <c r="G329" s="331"/>
      <c r="H329" s="331"/>
      <c r="I329" s="331"/>
    </row>
    <row r="330" spans="1:9" s="329" customFormat="1" hidden="1">
      <c r="A330" s="331">
        <v>490430</v>
      </c>
      <c r="B330" s="331" t="s">
        <v>327</v>
      </c>
      <c r="C330" s="325" t="s">
        <v>321</v>
      </c>
      <c r="D330" s="329" t="s">
        <v>139</v>
      </c>
      <c r="E330" s="329" t="s">
        <v>13</v>
      </c>
      <c r="F330" s="332"/>
      <c r="G330" s="331"/>
      <c r="H330" s="331"/>
      <c r="I330" s="331"/>
    </row>
    <row r="331" spans="1:9" s="329" customFormat="1" hidden="1">
      <c r="A331" s="331">
        <v>490440</v>
      </c>
      <c r="B331" s="331" t="s">
        <v>328</v>
      </c>
      <c r="C331" s="325" t="s">
        <v>321</v>
      </c>
      <c r="D331" s="329" t="s">
        <v>139</v>
      </c>
      <c r="E331" s="329" t="s">
        <v>13</v>
      </c>
      <c r="F331" s="332"/>
      <c r="G331" s="331"/>
      <c r="H331" s="331"/>
      <c r="I331" s="331"/>
    </row>
    <row r="332" spans="1:9" s="329" customFormat="1" hidden="1">
      <c r="A332" s="331">
        <v>490500</v>
      </c>
      <c r="B332" s="331" t="s">
        <v>329</v>
      </c>
      <c r="C332" s="325" t="s">
        <v>321</v>
      </c>
      <c r="D332" s="329" t="s">
        <v>139</v>
      </c>
      <c r="E332" s="329" t="s">
        <v>13</v>
      </c>
      <c r="F332" s="332"/>
      <c r="G332" s="331"/>
      <c r="H332" s="331"/>
      <c r="I332" s="331"/>
    </row>
    <row r="333" spans="1:9" s="329" customFormat="1" hidden="1">
      <c r="A333" s="331">
        <v>490510</v>
      </c>
      <c r="B333" s="331" t="s">
        <v>325</v>
      </c>
      <c r="C333" s="325" t="s">
        <v>321</v>
      </c>
      <c r="D333" s="329" t="s">
        <v>139</v>
      </c>
      <c r="E333" s="329" t="s">
        <v>13</v>
      </c>
      <c r="F333" s="332"/>
      <c r="G333" s="331"/>
      <c r="H333" s="331"/>
      <c r="I333" s="331"/>
    </row>
    <row r="334" spans="1:9" s="329" customFormat="1" hidden="1">
      <c r="A334" s="331">
        <v>490520</v>
      </c>
      <c r="B334" s="331" t="s">
        <v>326</v>
      </c>
      <c r="C334" s="325" t="s">
        <v>321</v>
      </c>
      <c r="D334" s="329" t="s">
        <v>139</v>
      </c>
      <c r="E334" s="329" t="s">
        <v>13</v>
      </c>
      <c r="F334" s="332"/>
      <c r="G334" s="331"/>
      <c r="H334" s="331"/>
      <c r="I334" s="331"/>
    </row>
    <row r="335" spans="1:9" s="329" customFormat="1" hidden="1">
      <c r="A335" s="331">
        <v>490530</v>
      </c>
      <c r="B335" s="331" t="s">
        <v>327</v>
      </c>
      <c r="C335" s="325" t="s">
        <v>321</v>
      </c>
      <c r="D335" s="329" t="s">
        <v>139</v>
      </c>
      <c r="E335" s="329" t="s">
        <v>13</v>
      </c>
      <c r="F335" s="332"/>
      <c r="G335" s="331"/>
      <c r="H335" s="331"/>
      <c r="I335" s="331"/>
    </row>
    <row r="336" spans="1:9" s="329" customFormat="1" hidden="1">
      <c r="A336" s="331">
        <v>490540</v>
      </c>
      <c r="B336" s="325" t="s">
        <v>330</v>
      </c>
      <c r="C336" s="325" t="s">
        <v>331</v>
      </c>
      <c r="D336" s="329" t="s">
        <v>14</v>
      </c>
      <c r="E336" s="329" t="s">
        <v>117</v>
      </c>
      <c r="F336" s="340"/>
      <c r="G336" s="331"/>
      <c r="H336" s="331"/>
      <c r="I336" s="331"/>
    </row>
    <row r="337" spans="1:9" s="329" customFormat="1" hidden="1">
      <c r="A337" s="331">
        <v>490540</v>
      </c>
      <c r="B337" s="325" t="s">
        <v>332</v>
      </c>
      <c r="C337" s="325" t="s">
        <v>331</v>
      </c>
      <c r="D337" s="329" t="s">
        <v>14</v>
      </c>
      <c r="E337" s="329" t="s">
        <v>117</v>
      </c>
      <c r="F337" s="340"/>
      <c r="G337" s="331"/>
      <c r="H337" s="331"/>
      <c r="I337" s="331"/>
    </row>
    <row r="338" spans="1:9" s="329" customFormat="1" hidden="1">
      <c r="A338" s="331">
        <v>490540</v>
      </c>
      <c r="B338" s="325" t="s">
        <v>333</v>
      </c>
      <c r="C338" s="325" t="s">
        <v>331</v>
      </c>
      <c r="D338" s="329" t="s">
        <v>14</v>
      </c>
      <c r="E338" s="329" t="s">
        <v>117</v>
      </c>
      <c r="F338" s="332"/>
      <c r="G338" s="331"/>
      <c r="H338" s="331"/>
      <c r="I338" s="331"/>
    </row>
    <row r="339" spans="1:9" s="329" customFormat="1" hidden="1">
      <c r="A339" s="331">
        <v>490550</v>
      </c>
      <c r="B339" s="331" t="s">
        <v>334</v>
      </c>
      <c r="C339" s="325" t="s">
        <v>321</v>
      </c>
      <c r="D339" s="329" t="s">
        <v>139</v>
      </c>
      <c r="E339" s="329" t="s">
        <v>13</v>
      </c>
      <c r="F339" s="332"/>
      <c r="G339" s="331"/>
      <c r="H339" s="331"/>
      <c r="I339" s="331"/>
    </row>
    <row r="340" spans="1:9" s="329" customFormat="1" hidden="1">
      <c r="A340" s="331">
        <v>490600</v>
      </c>
      <c r="B340" s="331" t="s">
        <v>335</v>
      </c>
      <c r="C340" s="325" t="s">
        <v>336</v>
      </c>
      <c r="D340" s="329" t="s">
        <v>139</v>
      </c>
      <c r="E340" s="329" t="s">
        <v>13</v>
      </c>
      <c r="F340" s="332"/>
      <c r="G340" s="331"/>
      <c r="H340" s="331"/>
      <c r="I340" s="331"/>
    </row>
    <row r="341" spans="1:9" s="329" customFormat="1" hidden="1">
      <c r="A341" s="331">
        <v>490610</v>
      </c>
      <c r="B341" s="331" t="s">
        <v>337</v>
      </c>
      <c r="C341" s="325" t="s">
        <v>336</v>
      </c>
      <c r="D341" s="329" t="s">
        <v>139</v>
      </c>
      <c r="E341" s="329" t="s">
        <v>13</v>
      </c>
      <c r="F341" s="332"/>
      <c r="G341" s="331"/>
      <c r="H341" s="331"/>
      <c r="I341" s="331"/>
    </row>
    <row r="342" spans="1:9" s="329" customFormat="1" hidden="1">
      <c r="A342" s="331">
        <v>490620</v>
      </c>
      <c r="B342" s="331" t="s">
        <v>338</v>
      </c>
      <c r="C342" s="325" t="s">
        <v>336</v>
      </c>
      <c r="D342" s="329" t="s">
        <v>139</v>
      </c>
      <c r="E342" s="329" t="s">
        <v>13</v>
      </c>
      <c r="F342" s="332"/>
      <c r="G342" s="331"/>
      <c r="H342" s="331"/>
      <c r="I342" s="331"/>
    </row>
    <row r="343" spans="1:9" s="329" customFormat="1" hidden="1">
      <c r="A343" s="339" t="s">
        <v>339</v>
      </c>
      <c r="B343" s="329" t="s">
        <v>340</v>
      </c>
      <c r="D343" s="329" t="e">
        <v>#N/A</v>
      </c>
      <c r="E343" s="329" t="e">
        <v>#N/A</v>
      </c>
      <c r="G343" s="325"/>
      <c r="H343" s="325"/>
      <c r="I343" s="325"/>
    </row>
    <row r="344" spans="1:9" s="329" customFormat="1" hidden="1">
      <c r="A344" s="338" t="s">
        <v>341</v>
      </c>
      <c r="B344" s="331"/>
      <c r="C344" s="331"/>
      <c r="D344" s="329" t="e">
        <v>#N/A</v>
      </c>
      <c r="E344" s="329" t="e">
        <v>#N/A</v>
      </c>
      <c r="G344" s="325"/>
      <c r="H344" s="325"/>
      <c r="I344" s="325"/>
    </row>
    <row r="345" spans="1:9" s="329" customFormat="1" hidden="1">
      <c r="A345" s="338" t="s">
        <v>342</v>
      </c>
      <c r="B345" s="331" t="s">
        <v>343</v>
      </c>
      <c r="C345" s="331"/>
      <c r="D345" s="329" t="e">
        <v>#N/A</v>
      </c>
      <c r="E345" s="329" t="e">
        <v>#N/A</v>
      </c>
      <c r="G345" s="325" t="s">
        <v>34</v>
      </c>
      <c r="H345" s="325" t="s">
        <v>35</v>
      </c>
      <c r="I345" s="325"/>
    </row>
    <row r="346" spans="1:9" s="329" customFormat="1" hidden="1">
      <c r="A346" s="338" t="s">
        <v>344</v>
      </c>
      <c r="B346" s="331" t="s">
        <v>345</v>
      </c>
      <c r="C346" s="331"/>
      <c r="D346" s="329" t="e">
        <v>#N/A</v>
      </c>
      <c r="E346" s="329" t="e">
        <v>#N/A</v>
      </c>
      <c r="G346" s="325" t="s">
        <v>34</v>
      </c>
      <c r="H346" s="325" t="s">
        <v>35</v>
      </c>
      <c r="I346" s="325"/>
    </row>
    <row r="347" spans="1:9" s="329" customFormat="1" hidden="1">
      <c r="A347" s="338" t="s">
        <v>346</v>
      </c>
      <c r="B347" s="331" t="s">
        <v>347</v>
      </c>
      <c r="C347" s="331"/>
      <c r="D347" s="329" t="e">
        <v>#N/A</v>
      </c>
      <c r="E347" s="329" t="e">
        <v>#N/A</v>
      </c>
      <c r="G347" s="325" t="s">
        <v>348</v>
      </c>
      <c r="H347" s="325"/>
      <c r="I347" s="325"/>
    </row>
    <row r="348" spans="1:9" hidden="1">
      <c r="A348" s="337">
        <v>500000</v>
      </c>
      <c r="B348" s="337" t="s">
        <v>349</v>
      </c>
      <c r="C348" s="337"/>
      <c r="D348" s="329" t="e">
        <v>#N/A</v>
      </c>
      <c r="E348" s="329" t="e">
        <v>#N/A</v>
      </c>
    </row>
    <row r="349" spans="1:9" s="329" customFormat="1" hidden="1">
      <c r="A349" s="333">
        <v>501000</v>
      </c>
      <c r="B349" s="329" t="s">
        <v>350</v>
      </c>
      <c r="C349" s="325" t="s">
        <v>351</v>
      </c>
      <c r="D349" s="329" t="s">
        <v>14</v>
      </c>
      <c r="E349" s="329" t="s">
        <v>13</v>
      </c>
      <c r="G349" s="325"/>
      <c r="H349" s="325"/>
      <c r="I349" s="325"/>
    </row>
    <row r="350" spans="1:9" hidden="1">
      <c r="A350" s="333">
        <v>501000</v>
      </c>
      <c r="B350" s="325" t="s">
        <v>352</v>
      </c>
      <c r="C350" s="325" t="s">
        <v>351</v>
      </c>
      <c r="D350" s="329" t="s">
        <v>14</v>
      </c>
      <c r="E350" s="329" t="s">
        <v>13</v>
      </c>
    </row>
    <row r="351" spans="1:9" hidden="1">
      <c r="A351" s="333">
        <v>501000</v>
      </c>
      <c r="B351" s="325" t="s">
        <v>353</v>
      </c>
      <c r="C351" s="325" t="s">
        <v>351</v>
      </c>
      <c r="D351" s="329" t="s">
        <v>14</v>
      </c>
      <c r="E351" s="329" t="s">
        <v>13</v>
      </c>
    </row>
    <row r="352" spans="1:9" hidden="1">
      <c r="A352" s="333">
        <v>501000</v>
      </c>
      <c r="B352" s="331" t="s">
        <v>354</v>
      </c>
      <c r="C352" s="325" t="s">
        <v>351</v>
      </c>
      <c r="D352" s="329" t="s">
        <v>14</v>
      </c>
      <c r="E352" s="329" t="s">
        <v>13</v>
      </c>
    </row>
    <row r="353" spans="1:9" hidden="1">
      <c r="A353" s="333">
        <v>510000</v>
      </c>
      <c r="B353" s="329" t="s">
        <v>355</v>
      </c>
      <c r="C353" s="325" t="s">
        <v>356</v>
      </c>
      <c r="D353" s="329" t="s">
        <v>14</v>
      </c>
      <c r="E353" s="329" t="s">
        <v>117</v>
      </c>
    </row>
    <row r="354" spans="1:9" hidden="1">
      <c r="A354" s="325">
        <v>510100</v>
      </c>
      <c r="B354" s="325" t="s">
        <v>357</v>
      </c>
      <c r="C354" s="325" t="s">
        <v>356</v>
      </c>
      <c r="D354" s="329" t="s">
        <v>14</v>
      </c>
      <c r="E354" s="329" t="s">
        <v>117</v>
      </c>
      <c r="G354" s="325" t="s">
        <v>46</v>
      </c>
      <c r="H354" s="325" t="s">
        <v>47</v>
      </c>
    </row>
    <row r="355" spans="1:9" hidden="1">
      <c r="A355" s="325">
        <v>510200</v>
      </c>
      <c r="B355" s="325" t="s">
        <v>358</v>
      </c>
      <c r="C355" s="325" t="s">
        <v>356</v>
      </c>
      <c r="D355" s="329" t="s">
        <v>14</v>
      </c>
      <c r="E355" s="329" t="s">
        <v>117</v>
      </c>
      <c r="G355" s="331" t="s">
        <v>52</v>
      </c>
      <c r="H355" s="331" t="s">
        <v>35</v>
      </c>
      <c r="I355" s="331"/>
    </row>
    <row r="356" spans="1:9" s="331" customFormat="1" hidden="1">
      <c r="A356" s="331">
        <v>510210</v>
      </c>
      <c r="B356" s="331" t="s">
        <v>359</v>
      </c>
      <c r="C356" s="325" t="s">
        <v>356</v>
      </c>
      <c r="D356" s="329" t="s">
        <v>14</v>
      </c>
      <c r="E356" s="329" t="s">
        <v>117</v>
      </c>
      <c r="F356" s="332"/>
      <c r="G356" s="331" t="s">
        <v>52</v>
      </c>
      <c r="H356" s="331" t="s">
        <v>35</v>
      </c>
    </row>
    <row r="357" spans="1:9" s="331" customFormat="1" hidden="1">
      <c r="A357" s="331">
        <v>510220</v>
      </c>
      <c r="B357" s="331" t="s">
        <v>360</v>
      </c>
      <c r="C357" s="325" t="s">
        <v>356</v>
      </c>
      <c r="D357" s="329" t="s">
        <v>14</v>
      </c>
      <c r="E357" s="329" t="s">
        <v>117</v>
      </c>
      <c r="F357" s="332"/>
      <c r="G357" s="331" t="s">
        <v>52</v>
      </c>
      <c r="H357" s="331" t="s">
        <v>35</v>
      </c>
    </row>
    <row r="358" spans="1:9" s="331" customFormat="1" hidden="1">
      <c r="A358" s="331">
        <v>510230</v>
      </c>
      <c r="B358" s="331" t="s">
        <v>361</v>
      </c>
      <c r="C358" s="325" t="s">
        <v>356</v>
      </c>
      <c r="D358" s="329" t="s">
        <v>14</v>
      </c>
      <c r="E358" s="329" t="s">
        <v>117</v>
      </c>
      <c r="F358" s="332"/>
      <c r="G358" s="331" t="s">
        <v>52</v>
      </c>
      <c r="H358" s="331" t="s">
        <v>35</v>
      </c>
    </row>
    <row r="359" spans="1:9" hidden="1">
      <c r="A359" s="330">
        <v>520000</v>
      </c>
      <c r="B359" s="329" t="s">
        <v>362</v>
      </c>
      <c r="C359" s="325" t="s">
        <v>351</v>
      </c>
      <c r="D359" s="329" t="s">
        <v>14</v>
      </c>
      <c r="E359" s="329" t="s">
        <v>13</v>
      </c>
      <c r="G359" s="325" t="s">
        <v>34</v>
      </c>
      <c r="H359" s="325" t="s">
        <v>35</v>
      </c>
    </row>
    <row r="360" spans="1:9" hidden="1">
      <c r="A360" s="325">
        <v>520100</v>
      </c>
      <c r="B360" s="325" t="s">
        <v>363</v>
      </c>
      <c r="C360" s="325" t="s">
        <v>351</v>
      </c>
      <c r="D360" s="329" t="s">
        <v>14</v>
      </c>
      <c r="E360" s="329" t="s">
        <v>13</v>
      </c>
      <c r="G360" s="325" t="s">
        <v>34</v>
      </c>
      <c r="H360" s="325" t="s">
        <v>35</v>
      </c>
    </row>
    <row r="361" spans="1:9" hidden="1">
      <c r="A361" s="325">
        <v>520200</v>
      </c>
      <c r="B361" s="331" t="s">
        <v>364</v>
      </c>
      <c r="C361" s="325" t="s">
        <v>351</v>
      </c>
      <c r="D361" s="329" t="s">
        <v>14</v>
      </c>
      <c r="E361" s="329" t="s">
        <v>13</v>
      </c>
      <c r="G361" s="325" t="s">
        <v>46</v>
      </c>
      <c r="H361" s="325" t="s">
        <v>47</v>
      </c>
    </row>
    <row r="362" spans="1:9" hidden="1">
      <c r="A362" s="325">
        <v>520210</v>
      </c>
      <c r="B362" s="325" t="s">
        <v>365</v>
      </c>
      <c r="C362" s="325" t="s">
        <v>351</v>
      </c>
      <c r="D362" s="329" t="s">
        <v>14</v>
      </c>
      <c r="E362" s="329" t="s">
        <v>13</v>
      </c>
      <c r="G362" s="331" t="s">
        <v>52</v>
      </c>
      <c r="H362" s="331" t="s">
        <v>35</v>
      </c>
      <c r="I362" s="331"/>
    </row>
    <row r="363" spans="1:9" hidden="1">
      <c r="A363" s="325">
        <v>520220</v>
      </c>
      <c r="B363" s="325" t="s">
        <v>366</v>
      </c>
      <c r="C363" s="325" t="s">
        <v>351</v>
      </c>
      <c r="D363" s="329" t="s">
        <v>14</v>
      </c>
      <c r="E363" s="329" t="s">
        <v>13</v>
      </c>
      <c r="G363" s="331" t="s">
        <v>52</v>
      </c>
      <c r="H363" s="331" t="s">
        <v>35</v>
      </c>
      <c r="I363" s="331"/>
    </row>
    <row r="364" spans="1:9" hidden="1">
      <c r="A364" s="325">
        <v>520230</v>
      </c>
      <c r="B364" s="325" t="s">
        <v>367</v>
      </c>
      <c r="C364" s="325" t="s">
        <v>351</v>
      </c>
      <c r="D364" s="329" t="s">
        <v>14</v>
      </c>
      <c r="E364" s="329" t="s">
        <v>13</v>
      </c>
      <c r="G364" s="325" t="s">
        <v>34</v>
      </c>
      <c r="H364" s="325" t="s">
        <v>35</v>
      </c>
    </row>
    <row r="365" spans="1:9" hidden="1">
      <c r="A365" s="325">
        <v>520300</v>
      </c>
      <c r="B365" s="325" t="s">
        <v>368</v>
      </c>
      <c r="C365" s="325" t="s">
        <v>351</v>
      </c>
      <c r="D365" s="329" t="s">
        <v>14</v>
      </c>
      <c r="E365" s="329" t="s">
        <v>13</v>
      </c>
      <c r="G365" s="325" t="s">
        <v>46</v>
      </c>
      <c r="H365" s="325" t="s">
        <v>47</v>
      </c>
    </row>
    <row r="366" spans="1:9" hidden="1">
      <c r="A366" s="330">
        <v>530000</v>
      </c>
      <c r="B366" s="329" t="s">
        <v>369</v>
      </c>
      <c r="C366" s="325" t="s">
        <v>351</v>
      </c>
      <c r="D366" s="329" t="s">
        <v>14</v>
      </c>
      <c r="E366" s="329" t="s">
        <v>13</v>
      </c>
    </row>
    <row r="367" spans="1:9" hidden="1">
      <c r="A367" s="325">
        <v>530100</v>
      </c>
      <c r="B367" s="325" t="s">
        <v>370</v>
      </c>
      <c r="C367" s="325" t="s">
        <v>351</v>
      </c>
      <c r="D367" s="329" t="s">
        <v>14</v>
      </c>
      <c r="E367" s="329" t="s">
        <v>13</v>
      </c>
    </row>
    <row r="368" spans="1:9" hidden="1">
      <c r="A368" s="325">
        <v>530110</v>
      </c>
      <c r="B368" s="331" t="s">
        <v>371</v>
      </c>
      <c r="C368" s="325" t="s">
        <v>351</v>
      </c>
      <c r="D368" s="329" t="s">
        <v>14</v>
      </c>
      <c r="E368" s="329" t="s">
        <v>13</v>
      </c>
      <c r="G368" s="325" t="s">
        <v>49</v>
      </c>
      <c r="H368" s="325" t="s">
        <v>50</v>
      </c>
    </row>
    <row r="369" spans="1:9" hidden="1">
      <c r="A369" s="325">
        <v>530200</v>
      </c>
      <c r="B369" s="325" t="s">
        <v>372</v>
      </c>
      <c r="C369" s="325" t="s">
        <v>351</v>
      </c>
      <c r="D369" s="329" t="s">
        <v>14</v>
      </c>
      <c r="E369" s="329" t="s">
        <v>13</v>
      </c>
    </row>
    <row r="370" spans="1:9" hidden="1">
      <c r="A370" s="325">
        <v>530210</v>
      </c>
      <c r="B370" s="331" t="s">
        <v>373</v>
      </c>
      <c r="C370" s="325" t="s">
        <v>351</v>
      </c>
      <c r="D370" s="329" t="s">
        <v>14</v>
      </c>
      <c r="E370" s="329" t="s">
        <v>13</v>
      </c>
    </row>
    <row r="371" spans="1:9" hidden="1">
      <c r="A371" s="325">
        <v>530220</v>
      </c>
      <c r="B371" s="332" t="s">
        <v>374</v>
      </c>
      <c r="C371" s="325" t="s">
        <v>351</v>
      </c>
      <c r="D371" s="329" t="s">
        <v>14</v>
      </c>
      <c r="E371" s="329" t="s">
        <v>13</v>
      </c>
    </row>
    <row r="372" spans="1:9" s="331" customFormat="1" hidden="1">
      <c r="A372" s="331">
        <v>530300</v>
      </c>
      <c r="B372" s="331" t="s">
        <v>375</v>
      </c>
      <c r="C372" s="325" t="s">
        <v>351</v>
      </c>
      <c r="D372" s="329" t="s">
        <v>14</v>
      </c>
      <c r="E372" s="329" t="s">
        <v>13</v>
      </c>
    </row>
    <row r="373" spans="1:9" ht="14.25" hidden="1" customHeight="1">
      <c r="A373" s="330">
        <v>540000</v>
      </c>
      <c r="B373" s="329" t="s">
        <v>376</v>
      </c>
      <c r="C373" s="325" t="s">
        <v>377</v>
      </c>
      <c r="D373" s="329">
        <v>0</v>
      </c>
      <c r="E373" s="329">
        <v>0</v>
      </c>
    </row>
    <row r="374" spans="1:9" hidden="1">
      <c r="A374" s="325">
        <v>540100</v>
      </c>
      <c r="B374" s="325" t="s">
        <v>378</v>
      </c>
      <c r="C374" s="325" t="s">
        <v>377</v>
      </c>
      <c r="D374" s="329">
        <v>0</v>
      </c>
      <c r="E374" s="329">
        <v>0</v>
      </c>
    </row>
    <row r="375" spans="1:9" hidden="1">
      <c r="A375" s="325">
        <v>540200</v>
      </c>
      <c r="B375" s="325" t="s">
        <v>379</v>
      </c>
      <c r="C375" s="325" t="s">
        <v>377</v>
      </c>
      <c r="D375" s="329">
        <v>0</v>
      </c>
      <c r="E375" s="329">
        <v>0</v>
      </c>
    </row>
    <row r="376" spans="1:9" hidden="1">
      <c r="A376" s="325">
        <v>540300</v>
      </c>
      <c r="B376" s="325" t="s">
        <v>380</v>
      </c>
      <c r="C376" s="325" t="s">
        <v>377</v>
      </c>
      <c r="D376" s="329">
        <v>0</v>
      </c>
      <c r="E376" s="329">
        <v>0</v>
      </c>
    </row>
    <row r="377" spans="1:9" hidden="1">
      <c r="A377" s="325">
        <v>540400</v>
      </c>
      <c r="B377" s="325" t="s">
        <v>381</v>
      </c>
      <c r="C377" s="325" t="s">
        <v>377</v>
      </c>
      <c r="D377" s="329">
        <v>0</v>
      </c>
      <c r="E377" s="329">
        <v>0</v>
      </c>
    </row>
    <row r="378" spans="1:9" hidden="1">
      <c r="A378" s="330">
        <v>550000</v>
      </c>
      <c r="B378" s="329" t="s">
        <v>382</v>
      </c>
      <c r="C378" s="325" t="s">
        <v>351</v>
      </c>
      <c r="D378" s="329" t="s">
        <v>14</v>
      </c>
      <c r="E378" s="329" t="s">
        <v>13</v>
      </c>
    </row>
    <row r="379" spans="1:9" hidden="1">
      <c r="A379" s="325">
        <v>550100</v>
      </c>
      <c r="B379" s="325" t="s">
        <v>383</v>
      </c>
      <c r="C379" s="325" t="s">
        <v>351</v>
      </c>
      <c r="D379" s="329" t="s">
        <v>14</v>
      </c>
      <c r="E379" s="329" t="s">
        <v>13</v>
      </c>
      <c r="G379" s="325" t="s">
        <v>46</v>
      </c>
      <c r="H379" s="325" t="s">
        <v>47</v>
      </c>
    </row>
    <row r="380" spans="1:9" hidden="1">
      <c r="A380" s="325">
        <v>550200</v>
      </c>
      <c r="B380" s="325" t="s">
        <v>384</v>
      </c>
      <c r="C380" s="325" t="s">
        <v>351</v>
      </c>
      <c r="D380" s="329" t="s">
        <v>14</v>
      </c>
      <c r="E380" s="329" t="s">
        <v>13</v>
      </c>
      <c r="G380" s="325" t="s">
        <v>46</v>
      </c>
      <c r="H380" s="325" t="s">
        <v>47</v>
      </c>
    </row>
    <row r="381" spans="1:9" s="331" customFormat="1" hidden="1">
      <c r="A381" s="331">
        <v>550300</v>
      </c>
      <c r="B381" s="331" t="s">
        <v>385</v>
      </c>
      <c r="C381" s="325" t="s">
        <v>351</v>
      </c>
      <c r="D381" s="329" t="s">
        <v>14</v>
      </c>
      <c r="E381" s="329" t="s">
        <v>13</v>
      </c>
      <c r="F381" s="332"/>
      <c r="G381" s="331" t="s">
        <v>52</v>
      </c>
      <c r="H381" s="331" t="s">
        <v>35</v>
      </c>
    </row>
    <row r="382" spans="1:9" hidden="1">
      <c r="A382" s="325">
        <v>550400</v>
      </c>
      <c r="B382" s="325" t="s">
        <v>386</v>
      </c>
      <c r="C382" s="325" t="s">
        <v>351</v>
      </c>
      <c r="D382" s="329" t="s">
        <v>14</v>
      </c>
      <c r="E382" s="329" t="s">
        <v>13</v>
      </c>
      <c r="G382" s="325" t="s">
        <v>34</v>
      </c>
      <c r="H382" s="325" t="s">
        <v>35</v>
      </c>
    </row>
    <row r="383" spans="1:9" hidden="1">
      <c r="A383" s="337">
        <v>600000</v>
      </c>
      <c r="B383" s="337" t="s">
        <v>387</v>
      </c>
      <c r="C383" s="337"/>
      <c r="D383" s="329"/>
      <c r="E383" s="329"/>
    </row>
    <row r="384" spans="1:9" s="329" customFormat="1" hidden="1">
      <c r="A384" s="333">
        <v>610000</v>
      </c>
      <c r="B384" s="329" t="s">
        <v>388</v>
      </c>
      <c r="C384" s="325" t="s">
        <v>389</v>
      </c>
      <c r="D384" s="329" t="s">
        <v>14</v>
      </c>
      <c r="E384" s="329" t="s">
        <v>13</v>
      </c>
      <c r="F384" s="335"/>
      <c r="G384" s="325" t="s">
        <v>34</v>
      </c>
      <c r="H384" s="325" t="s">
        <v>35</v>
      </c>
      <c r="I384" s="325"/>
    </row>
    <row r="385" spans="1:9" hidden="1">
      <c r="A385" s="331">
        <v>610100</v>
      </c>
      <c r="B385" s="325" t="s">
        <v>390</v>
      </c>
      <c r="C385" s="325" t="s">
        <v>389</v>
      </c>
      <c r="D385" s="329" t="s">
        <v>14</v>
      </c>
      <c r="E385" s="329" t="s">
        <v>13</v>
      </c>
      <c r="F385" s="335"/>
    </row>
    <row r="386" spans="1:9" hidden="1">
      <c r="A386" s="331">
        <v>610200</v>
      </c>
      <c r="B386" s="325" t="s">
        <v>391</v>
      </c>
      <c r="C386" s="325" t="s">
        <v>389</v>
      </c>
      <c r="D386" s="329" t="s">
        <v>14</v>
      </c>
      <c r="E386" s="329" t="s">
        <v>13</v>
      </c>
      <c r="F386" s="335"/>
    </row>
    <row r="387" spans="1:9" hidden="1">
      <c r="A387" s="331">
        <v>610300</v>
      </c>
      <c r="B387" s="325" t="s">
        <v>392</v>
      </c>
      <c r="C387" s="325" t="s">
        <v>389</v>
      </c>
      <c r="D387" s="329" t="s">
        <v>14</v>
      </c>
      <c r="E387" s="329" t="s">
        <v>13</v>
      </c>
      <c r="F387" s="335"/>
    </row>
    <row r="388" spans="1:9" hidden="1">
      <c r="A388" s="331">
        <v>610400</v>
      </c>
      <c r="B388" s="325" t="s">
        <v>393</v>
      </c>
      <c r="C388" s="325" t="s">
        <v>389</v>
      </c>
      <c r="D388" s="329" t="s">
        <v>14</v>
      </c>
      <c r="E388" s="329" t="s">
        <v>13</v>
      </c>
      <c r="F388" s="335"/>
    </row>
    <row r="389" spans="1:9" s="329" customFormat="1" hidden="1">
      <c r="A389" s="333">
        <v>620000</v>
      </c>
      <c r="B389" s="329" t="s">
        <v>394</v>
      </c>
      <c r="G389" s="325"/>
      <c r="H389" s="325"/>
      <c r="I389" s="325"/>
    </row>
    <row r="390" spans="1:9" hidden="1">
      <c r="A390" s="331">
        <v>620100</v>
      </c>
      <c r="B390" s="325" t="s">
        <v>395</v>
      </c>
      <c r="C390" s="325" t="s">
        <v>396</v>
      </c>
      <c r="D390" s="329" t="s">
        <v>14</v>
      </c>
      <c r="E390" s="329" t="s">
        <v>117</v>
      </c>
      <c r="F390" s="335"/>
      <c r="G390" s="325" t="s">
        <v>34</v>
      </c>
      <c r="H390" s="325" t="s">
        <v>35</v>
      </c>
    </row>
    <row r="391" spans="1:9" hidden="1">
      <c r="A391" s="331">
        <v>620200</v>
      </c>
      <c r="B391" s="325" t="s">
        <v>397</v>
      </c>
      <c r="D391" s="329" t="e">
        <v>#N/A</v>
      </c>
      <c r="E391" s="329" t="e">
        <v>#N/A</v>
      </c>
      <c r="F391" s="335"/>
    </row>
    <row r="392" spans="1:9" hidden="1">
      <c r="A392" s="325">
        <v>620210</v>
      </c>
      <c r="B392" s="325" t="s">
        <v>398</v>
      </c>
      <c r="D392" s="329" t="e">
        <v>#N/A</v>
      </c>
      <c r="E392" s="329" t="e">
        <v>#N/A</v>
      </c>
      <c r="G392" s="325" t="s">
        <v>34</v>
      </c>
      <c r="H392" s="325" t="s">
        <v>35</v>
      </c>
    </row>
    <row r="393" spans="1:9" hidden="1">
      <c r="A393" s="325">
        <v>620220</v>
      </c>
      <c r="B393" s="325" t="s">
        <v>399</v>
      </c>
      <c r="D393" s="329" t="e">
        <v>#N/A</v>
      </c>
      <c r="E393" s="329" t="e">
        <v>#N/A</v>
      </c>
      <c r="G393" s="325" t="s">
        <v>46</v>
      </c>
      <c r="H393" s="325" t="s">
        <v>47</v>
      </c>
    </row>
    <row r="394" spans="1:9" hidden="1">
      <c r="A394" s="325">
        <v>620230</v>
      </c>
      <c r="B394" s="325" t="s">
        <v>400</v>
      </c>
      <c r="D394" s="329" t="e">
        <v>#N/A</v>
      </c>
      <c r="E394" s="329" t="e">
        <v>#N/A</v>
      </c>
      <c r="G394" s="325" t="s">
        <v>46</v>
      </c>
      <c r="H394" s="325" t="s">
        <v>47</v>
      </c>
    </row>
    <row r="395" spans="1:9" hidden="1">
      <c r="A395" s="325">
        <v>620240</v>
      </c>
      <c r="B395" s="325" t="s">
        <v>401</v>
      </c>
      <c r="D395" s="329" t="e">
        <v>#N/A</v>
      </c>
      <c r="E395" s="329" t="e">
        <v>#N/A</v>
      </c>
      <c r="G395" s="325" t="s">
        <v>34</v>
      </c>
      <c r="H395" s="325" t="s">
        <v>35</v>
      </c>
    </row>
    <row r="396" spans="1:9" hidden="1">
      <c r="A396" s="325">
        <v>620250</v>
      </c>
      <c r="B396" s="325" t="s">
        <v>402</v>
      </c>
      <c r="D396" s="329" t="e">
        <v>#N/A</v>
      </c>
      <c r="E396" s="329" t="e">
        <v>#N/A</v>
      </c>
      <c r="G396" s="325" t="s">
        <v>34</v>
      </c>
      <c r="H396" s="325" t="s">
        <v>35</v>
      </c>
    </row>
    <row r="397" spans="1:9" hidden="1">
      <c r="A397" s="325">
        <v>620300</v>
      </c>
      <c r="B397" s="325" t="s">
        <v>403</v>
      </c>
      <c r="D397" s="329" t="e">
        <v>#N/A</v>
      </c>
      <c r="E397" s="329" t="e">
        <v>#N/A</v>
      </c>
      <c r="F397" s="335"/>
    </row>
    <row r="398" spans="1:9" hidden="1">
      <c r="A398" s="325">
        <v>620310</v>
      </c>
      <c r="B398" s="325" t="s">
        <v>404</v>
      </c>
      <c r="D398" s="329" t="e">
        <v>#N/A</v>
      </c>
      <c r="E398" s="329" t="e">
        <v>#N/A</v>
      </c>
      <c r="G398" s="325" t="s">
        <v>34</v>
      </c>
      <c r="H398" s="325" t="s">
        <v>35</v>
      </c>
    </row>
    <row r="399" spans="1:9" hidden="1">
      <c r="A399" s="325">
        <v>620320</v>
      </c>
      <c r="B399" s="325" t="s">
        <v>405</v>
      </c>
      <c r="D399" s="329" t="e">
        <v>#N/A</v>
      </c>
      <c r="E399" s="329" t="e">
        <v>#N/A</v>
      </c>
      <c r="G399" s="325" t="s">
        <v>34</v>
      </c>
      <c r="H399" s="325" t="s">
        <v>35</v>
      </c>
    </row>
    <row r="400" spans="1:9" hidden="1">
      <c r="A400" s="325">
        <v>620320</v>
      </c>
      <c r="B400" s="325" t="s">
        <v>406</v>
      </c>
      <c r="D400" s="329" t="e">
        <v>#N/A</v>
      </c>
      <c r="E400" s="329" t="e">
        <v>#N/A</v>
      </c>
      <c r="F400" s="335"/>
    </row>
    <row r="401" spans="1:9" hidden="1">
      <c r="A401" s="325">
        <v>620320</v>
      </c>
      <c r="B401" s="325" t="s">
        <v>407</v>
      </c>
      <c r="D401" s="329" t="e">
        <v>#N/A</v>
      </c>
      <c r="E401" s="329" t="e">
        <v>#N/A</v>
      </c>
      <c r="F401" s="335"/>
    </row>
    <row r="402" spans="1:9" hidden="1">
      <c r="A402" s="325">
        <v>620320</v>
      </c>
      <c r="B402" s="325" t="s">
        <v>408</v>
      </c>
      <c r="D402" s="329" t="e">
        <v>#N/A</v>
      </c>
      <c r="E402" s="329" t="e">
        <v>#N/A</v>
      </c>
      <c r="F402" s="335"/>
    </row>
    <row r="403" spans="1:9" hidden="1">
      <c r="A403" s="325">
        <v>620330</v>
      </c>
      <c r="B403" s="325" t="s">
        <v>409</v>
      </c>
      <c r="D403" s="329" t="e">
        <v>#N/A</v>
      </c>
      <c r="E403" s="329" t="e">
        <v>#N/A</v>
      </c>
      <c r="F403" s="335"/>
      <c r="G403" s="325" t="s">
        <v>34</v>
      </c>
      <c r="H403" s="325" t="s">
        <v>35</v>
      </c>
    </row>
    <row r="404" spans="1:9" hidden="1">
      <c r="A404" s="325">
        <v>620331</v>
      </c>
      <c r="B404" s="325" t="s">
        <v>407</v>
      </c>
      <c r="D404" s="329" t="e">
        <v>#N/A</v>
      </c>
      <c r="E404" s="329" t="e">
        <v>#N/A</v>
      </c>
      <c r="F404" s="335"/>
    </row>
    <row r="405" spans="1:9" hidden="1">
      <c r="A405" s="325">
        <v>620332</v>
      </c>
      <c r="B405" s="325" t="s">
        <v>410</v>
      </c>
      <c r="D405" s="329" t="e">
        <v>#N/A</v>
      </c>
      <c r="E405" s="329" t="e">
        <v>#N/A</v>
      </c>
      <c r="F405" s="335"/>
    </row>
    <row r="406" spans="1:9" s="331" customFormat="1" hidden="1">
      <c r="A406" s="331">
        <v>620334</v>
      </c>
      <c r="B406" s="331" t="s">
        <v>411</v>
      </c>
      <c r="D406" s="329" t="e">
        <v>#N/A</v>
      </c>
      <c r="E406" s="329" t="e">
        <v>#N/A</v>
      </c>
      <c r="G406" s="331" t="s">
        <v>46</v>
      </c>
      <c r="H406" s="331" t="s">
        <v>47</v>
      </c>
    </row>
    <row r="407" spans="1:9" hidden="1">
      <c r="A407" s="325">
        <v>620400</v>
      </c>
      <c r="B407" s="325" t="s">
        <v>412</v>
      </c>
      <c r="D407" s="329" t="e">
        <v>#N/A</v>
      </c>
      <c r="E407" s="329" t="e">
        <v>#N/A</v>
      </c>
      <c r="G407" s="325" t="s">
        <v>34</v>
      </c>
      <c r="H407" s="325" t="s">
        <v>35</v>
      </c>
    </row>
    <row r="408" spans="1:9" hidden="1">
      <c r="A408" s="325">
        <v>620410</v>
      </c>
      <c r="B408" s="325" t="s">
        <v>413</v>
      </c>
      <c r="D408" s="329" t="e">
        <v>#N/A</v>
      </c>
      <c r="E408" s="329" t="e">
        <v>#N/A</v>
      </c>
      <c r="F408" s="335"/>
    </row>
    <row r="409" spans="1:9" hidden="1">
      <c r="A409" s="325">
        <v>620420</v>
      </c>
      <c r="B409" s="325" t="s">
        <v>414</v>
      </c>
      <c r="D409" s="329" t="e">
        <v>#N/A</v>
      </c>
      <c r="E409" s="329" t="e">
        <v>#N/A</v>
      </c>
      <c r="F409" s="335"/>
    </row>
    <row r="410" spans="1:9" hidden="1">
      <c r="A410" s="325">
        <v>620500</v>
      </c>
      <c r="B410" s="325" t="s">
        <v>415</v>
      </c>
      <c r="D410" s="329" t="e">
        <v>#N/A</v>
      </c>
      <c r="E410" s="329" t="e">
        <v>#N/A</v>
      </c>
    </row>
    <row r="411" spans="1:9" hidden="1">
      <c r="A411" s="325">
        <v>620510</v>
      </c>
      <c r="B411" s="325" t="s">
        <v>416</v>
      </c>
      <c r="D411" s="329" t="e">
        <v>#N/A</v>
      </c>
      <c r="E411" s="329" t="e">
        <v>#N/A</v>
      </c>
      <c r="F411" s="335"/>
      <c r="G411" s="325" t="s">
        <v>34</v>
      </c>
      <c r="H411" s="325" t="s">
        <v>35</v>
      </c>
    </row>
    <row r="412" spans="1:9" hidden="1">
      <c r="A412" s="325">
        <v>620520</v>
      </c>
      <c r="B412" s="325" t="s">
        <v>417</v>
      </c>
      <c r="D412" s="329" t="e">
        <v>#N/A</v>
      </c>
      <c r="E412" s="329" t="e">
        <v>#N/A</v>
      </c>
      <c r="F412" s="335"/>
      <c r="G412" s="325" t="s">
        <v>46</v>
      </c>
      <c r="H412" s="325" t="s">
        <v>47</v>
      </c>
    </row>
    <row r="413" spans="1:9" s="329" customFormat="1" hidden="1">
      <c r="A413" s="330">
        <v>630000</v>
      </c>
      <c r="B413" s="329" t="s">
        <v>418</v>
      </c>
      <c r="D413" s="329" t="e">
        <v>#N/A</v>
      </c>
      <c r="E413" s="329" t="e">
        <v>#N/A</v>
      </c>
      <c r="G413" s="325"/>
      <c r="H413" s="325"/>
      <c r="I413" s="325"/>
    </row>
    <row r="414" spans="1:9" hidden="1">
      <c r="A414" s="331">
        <v>630100</v>
      </c>
      <c r="B414" s="325" t="s">
        <v>419</v>
      </c>
      <c r="D414" s="329" t="e">
        <v>#N/A</v>
      </c>
      <c r="E414" s="329" t="e">
        <v>#N/A</v>
      </c>
      <c r="F414" s="335"/>
    </row>
    <row r="415" spans="1:9" hidden="1">
      <c r="A415" s="325">
        <v>630200</v>
      </c>
      <c r="B415" s="325" t="s">
        <v>420</v>
      </c>
      <c r="D415" s="329" t="e">
        <v>#N/A</v>
      </c>
      <c r="E415" s="329" t="e">
        <v>#N/A</v>
      </c>
      <c r="F415" s="335"/>
    </row>
    <row r="416" spans="1:9" s="331" customFormat="1" hidden="1">
      <c r="A416" s="331">
        <v>630300</v>
      </c>
      <c r="B416" s="331" t="s">
        <v>421</v>
      </c>
      <c r="D416" s="329" t="e">
        <v>#N/A</v>
      </c>
      <c r="E416" s="329" t="e">
        <v>#N/A</v>
      </c>
      <c r="F416" s="334"/>
    </row>
    <row r="417" spans="1:9" hidden="1">
      <c r="A417" s="330">
        <v>640000</v>
      </c>
      <c r="B417" s="329" t="s">
        <v>422</v>
      </c>
      <c r="C417" s="329"/>
      <c r="D417" s="329" t="e">
        <v>#N/A</v>
      </c>
      <c r="E417" s="329" t="e">
        <v>#N/A</v>
      </c>
      <c r="F417" s="329"/>
    </row>
    <row r="418" spans="1:9" hidden="1">
      <c r="A418" s="331">
        <v>640100</v>
      </c>
      <c r="B418" s="325" t="s">
        <v>423</v>
      </c>
      <c r="D418" s="329" t="e">
        <v>#N/A</v>
      </c>
      <c r="E418" s="329" t="e">
        <v>#N/A</v>
      </c>
      <c r="F418" s="335"/>
      <c r="G418" s="325" t="s">
        <v>34</v>
      </c>
      <c r="H418" s="325" t="s">
        <v>35</v>
      </c>
    </row>
    <row r="419" spans="1:9" s="331" customFormat="1" hidden="1">
      <c r="A419" s="331">
        <v>640110</v>
      </c>
      <c r="B419" s="331" t="s">
        <v>424</v>
      </c>
      <c r="D419" s="329" t="e">
        <v>#N/A</v>
      </c>
      <c r="E419" s="329" t="e">
        <v>#N/A</v>
      </c>
      <c r="F419" s="334"/>
      <c r="G419" s="331" t="s">
        <v>46</v>
      </c>
      <c r="H419" s="331" t="s">
        <v>47</v>
      </c>
    </row>
    <row r="420" spans="1:9" hidden="1">
      <c r="A420" s="325">
        <v>640200</v>
      </c>
      <c r="B420" s="325" t="s">
        <v>425</v>
      </c>
      <c r="D420" s="329" t="e">
        <v>#N/A</v>
      </c>
      <c r="E420" s="329" t="e">
        <v>#N/A</v>
      </c>
      <c r="G420" s="325" t="s">
        <v>34</v>
      </c>
      <c r="H420" s="325" t="s">
        <v>35</v>
      </c>
    </row>
    <row r="421" spans="1:9" hidden="1">
      <c r="A421" s="330">
        <v>650000</v>
      </c>
      <c r="B421" s="329" t="s">
        <v>426</v>
      </c>
      <c r="C421" s="325" t="s">
        <v>427</v>
      </c>
      <c r="D421" s="329" t="s">
        <v>139</v>
      </c>
      <c r="E421" s="329" t="s">
        <v>13</v>
      </c>
    </row>
    <row r="422" spans="1:9" hidden="1">
      <c r="A422" s="331">
        <v>650100</v>
      </c>
      <c r="B422" s="331" t="s">
        <v>428</v>
      </c>
      <c r="C422" s="325" t="s">
        <v>427</v>
      </c>
      <c r="D422" s="329" t="s">
        <v>139</v>
      </c>
      <c r="E422" s="329" t="s">
        <v>13</v>
      </c>
      <c r="F422" s="335"/>
      <c r="G422" s="325" t="s">
        <v>60</v>
      </c>
      <c r="H422" s="325" t="s">
        <v>35</v>
      </c>
    </row>
    <row r="423" spans="1:9" hidden="1">
      <c r="A423" s="325">
        <v>650200</v>
      </c>
      <c r="B423" s="331" t="s">
        <v>429</v>
      </c>
      <c r="C423" s="325" t="s">
        <v>427</v>
      </c>
      <c r="D423" s="329" t="s">
        <v>139</v>
      </c>
      <c r="E423" s="329" t="s">
        <v>13</v>
      </c>
      <c r="F423" s="335"/>
      <c r="G423" s="325" t="s">
        <v>60</v>
      </c>
      <c r="H423" s="325" t="s">
        <v>35</v>
      </c>
    </row>
    <row r="424" spans="1:9" hidden="1">
      <c r="A424" s="325">
        <v>650300</v>
      </c>
      <c r="B424" s="325" t="s">
        <v>430</v>
      </c>
      <c r="C424" s="325" t="s">
        <v>427</v>
      </c>
      <c r="D424" s="329" t="s">
        <v>139</v>
      </c>
      <c r="E424" s="329" t="s">
        <v>13</v>
      </c>
      <c r="F424" s="335"/>
      <c r="G424" s="325" t="s">
        <v>60</v>
      </c>
      <c r="H424" s="325" t="s">
        <v>35</v>
      </c>
    </row>
    <row r="425" spans="1:9" hidden="1">
      <c r="A425" s="325">
        <v>650400</v>
      </c>
      <c r="B425" s="325" t="s">
        <v>431</v>
      </c>
      <c r="C425" s="325" t="s">
        <v>427</v>
      </c>
      <c r="D425" s="329" t="s">
        <v>139</v>
      </c>
      <c r="E425" s="329" t="s">
        <v>13</v>
      </c>
      <c r="F425" s="335"/>
    </row>
    <row r="426" spans="1:9" hidden="1">
      <c r="A426" s="337">
        <v>700000</v>
      </c>
      <c r="B426" s="337" t="s">
        <v>432</v>
      </c>
      <c r="C426" s="337"/>
      <c r="D426" s="329"/>
      <c r="E426" s="329"/>
    </row>
    <row r="427" spans="1:9" s="329" customFormat="1" hidden="1">
      <c r="A427" s="333">
        <v>710000</v>
      </c>
      <c r="B427" s="329" t="s">
        <v>433</v>
      </c>
      <c r="C427" s="325" t="s">
        <v>434</v>
      </c>
      <c r="D427" s="329" t="s">
        <v>14</v>
      </c>
      <c r="E427" s="329" t="s">
        <v>13</v>
      </c>
      <c r="F427" s="336"/>
      <c r="G427" s="325"/>
      <c r="H427" s="325"/>
      <c r="I427" s="325"/>
    </row>
    <row r="428" spans="1:9" hidden="1">
      <c r="A428" s="331">
        <v>710100</v>
      </c>
      <c r="B428" s="325" t="s">
        <v>435</v>
      </c>
      <c r="C428" s="325" t="s">
        <v>434</v>
      </c>
      <c r="D428" s="329" t="s">
        <v>14</v>
      </c>
      <c r="E428" s="329" t="s">
        <v>13</v>
      </c>
      <c r="F428" s="335"/>
    </row>
    <row r="429" spans="1:9" hidden="1">
      <c r="A429" s="331">
        <v>710200</v>
      </c>
      <c r="B429" s="325" t="s">
        <v>436</v>
      </c>
      <c r="C429" s="325" t="s">
        <v>434</v>
      </c>
      <c r="D429" s="329" t="s">
        <v>14</v>
      </c>
      <c r="E429" s="329" t="s">
        <v>13</v>
      </c>
      <c r="F429" s="335"/>
      <c r="G429" s="325" t="s">
        <v>34</v>
      </c>
      <c r="H429" s="325" t="s">
        <v>35</v>
      </c>
    </row>
    <row r="430" spans="1:9" s="329" customFormat="1" hidden="1">
      <c r="A430" s="333">
        <v>720000</v>
      </c>
      <c r="B430" s="329" t="s">
        <v>437</v>
      </c>
      <c r="D430" s="329" t="e">
        <v>#N/A</v>
      </c>
      <c r="E430" s="329" t="e">
        <v>#N/A</v>
      </c>
      <c r="F430" s="336"/>
      <c r="G430" s="325"/>
      <c r="H430" s="325"/>
      <c r="I430" s="325"/>
    </row>
    <row r="431" spans="1:9" hidden="1">
      <c r="A431" s="331">
        <v>720100</v>
      </c>
      <c r="B431" s="325" t="s">
        <v>438</v>
      </c>
      <c r="D431" s="329" t="e">
        <v>#N/A</v>
      </c>
      <c r="E431" s="329" t="e">
        <v>#N/A</v>
      </c>
      <c r="F431" s="335"/>
      <c r="G431" s="325" t="s">
        <v>34</v>
      </c>
      <c r="H431" s="325" t="s">
        <v>35</v>
      </c>
    </row>
    <row r="432" spans="1:9" hidden="1">
      <c r="A432" s="331">
        <v>720110</v>
      </c>
      <c r="B432" s="325" t="s">
        <v>439</v>
      </c>
      <c r="D432" s="329" t="e">
        <v>#N/A</v>
      </c>
      <c r="E432" s="329" t="e">
        <v>#N/A</v>
      </c>
      <c r="F432" s="335"/>
      <c r="G432" s="325" t="s">
        <v>46</v>
      </c>
      <c r="H432" s="325" t="s">
        <v>47</v>
      </c>
    </row>
    <row r="433" spans="1:9" hidden="1">
      <c r="A433" s="331">
        <v>720200</v>
      </c>
      <c r="B433" s="325" t="s">
        <v>440</v>
      </c>
      <c r="D433" s="329" t="e">
        <v>#N/A</v>
      </c>
      <c r="E433" s="329" t="e">
        <v>#N/A</v>
      </c>
      <c r="F433" s="335"/>
      <c r="G433" s="325" t="s">
        <v>34</v>
      </c>
      <c r="H433" s="325" t="s">
        <v>35</v>
      </c>
    </row>
    <row r="434" spans="1:9" s="331" customFormat="1" hidden="1">
      <c r="A434" s="331">
        <v>720300</v>
      </c>
      <c r="B434" s="331" t="s">
        <v>441</v>
      </c>
      <c r="D434" s="329" t="e">
        <v>#N/A</v>
      </c>
      <c r="E434" s="329" t="e">
        <v>#N/A</v>
      </c>
      <c r="F434" s="334"/>
    </row>
    <row r="435" spans="1:9" s="331" customFormat="1" hidden="1">
      <c r="A435" s="331">
        <v>720310</v>
      </c>
      <c r="B435" s="331" t="s">
        <v>442</v>
      </c>
      <c r="D435" s="329" t="e">
        <v>#N/A</v>
      </c>
      <c r="E435" s="329" t="e">
        <v>#N/A</v>
      </c>
      <c r="F435" s="334"/>
      <c r="G435" s="331" t="s">
        <v>46</v>
      </c>
      <c r="H435" s="331" t="s">
        <v>47</v>
      </c>
    </row>
    <row r="436" spans="1:9" s="329" customFormat="1" hidden="1">
      <c r="A436" s="333">
        <v>730000</v>
      </c>
      <c r="B436" s="332" t="s">
        <v>443</v>
      </c>
      <c r="C436" s="332"/>
      <c r="D436" s="329" t="e">
        <v>#N/A</v>
      </c>
      <c r="E436" s="329" t="e">
        <v>#N/A</v>
      </c>
      <c r="F436" s="325"/>
      <c r="G436" s="325"/>
      <c r="H436" s="325"/>
      <c r="I436" s="325"/>
    </row>
    <row r="437" spans="1:9" s="331" customFormat="1" hidden="1">
      <c r="A437" s="331">
        <v>730100</v>
      </c>
      <c r="B437" s="331" t="s">
        <v>444</v>
      </c>
      <c r="D437" s="329" t="e">
        <v>#N/A</v>
      </c>
      <c r="E437" s="329" t="e">
        <v>#N/A</v>
      </c>
      <c r="G437" s="331" t="s">
        <v>46</v>
      </c>
      <c r="H437" s="331" t="s">
        <v>47</v>
      </c>
    </row>
    <row r="438" spans="1:9" hidden="1">
      <c r="A438" s="325">
        <v>730200</v>
      </c>
      <c r="B438" s="325" t="s">
        <v>445</v>
      </c>
      <c r="D438" s="329" t="e">
        <v>#N/A</v>
      </c>
      <c r="E438" s="329" t="e">
        <v>#N/A</v>
      </c>
      <c r="G438" s="325" t="s">
        <v>34</v>
      </c>
      <c r="H438" s="325" t="s">
        <v>35</v>
      </c>
    </row>
    <row r="439" spans="1:9" s="329" customFormat="1" hidden="1">
      <c r="A439" s="330">
        <v>740000</v>
      </c>
      <c r="B439" s="329" t="s">
        <v>446</v>
      </c>
      <c r="D439" s="329" t="e">
        <v>#N/A</v>
      </c>
      <c r="E439" s="329" t="e">
        <v>#N/A</v>
      </c>
      <c r="G439" s="325"/>
      <c r="H439" s="325"/>
      <c r="I439" s="325"/>
    </row>
    <row r="440" spans="1:9" s="332" customFormat="1" hidden="1">
      <c r="A440" s="331">
        <v>740100</v>
      </c>
      <c r="B440" s="331" t="s">
        <v>447</v>
      </c>
      <c r="C440" s="331"/>
      <c r="D440" s="329" t="e">
        <v>#N/A</v>
      </c>
      <c r="E440" s="329" t="e">
        <v>#N/A</v>
      </c>
      <c r="G440" s="331"/>
      <c r="H440" s="331"/>
      <c r="I440" s="331"/>
    </row>
    <row r="441" spans="1:9" s="331" customFormat="1" hidden="1">
      <c r="A441" s="331">
        <v>740200</v>
      </c>
      <c r="B441" s="331" t="s">
        <v>448</v>
      </c>
      <c r="D441" s="329" t="e">
        <v>#N/A</v>
      </c>
      <c r="E441" s="329" t="e">
        <v>#N/A</v>
      </c>
      <c r="G441" s="331" t="s">
        <v>34</v>
      </c>
      <c r="H441" s="331" t="s">
        <v>35</v>
      </c>
    </row>
    <row r="442" spans="1:9" s="331" customFormat="1" hidden="1">
      <c r="A442" s="331">
        <v>740210</v>
      </c>
      <c r="B442" s="331" t="s">
        <v>449</v>
      </c>
      <c r="D442" s="329" t="e">
        <v>#N/A</v>
      </c>
      <c r="E442" s="329" t="e">
        <v>#N/A</v>
      </c>
    </row>
    <row r="443" spans="1:9" s="331" customFormat="1" hidden="1">
      <c r="A443" s="331">
        <v>740220</v>
      </c>
      <c r="B443" s="331" t="s">
        <v>450</v>
      </c>
      <c r="D443" s="329" t="e">
        <v>#N/A</v>
      </c>
      <c r="E443" s="329" t="e">
        <v>#N/A</v>
      </c>
    </row>
    <row r="444" spans="1:9" s="331" customFormat="1" hidden="1">
      <c r="A444" s="331">
        <v>740221</v>
      </c>
      <c r="B444" s="331" t="s">
        <v>451</v>
      </c>
      <c r="D444" s="329" t="e">
        <v>#N/A</v>
      </c>
      <c r="E444" s="329" t="e">
        <v>#N/A</v>
      </c>
      <c r="G444" s="331" t="s">
        <v>46</v>
      </c>
      <c r="H444" s="331" t="s">
        <v>47</v>
      </c>
    </row>
    <row r="445" spans="1:9" s="331" customFormat="1" hidden="1">
      <c r="A445" s="331">
        <v>740230</v>
      </c>
      <c r="B445" s="331" t="s">
        <v>452</v>
      </c>
      <c r="D445" s="329" t="e">
        <v>#N/A</v>
      </c>
      <c r="E445" s="329" t="e">
        <v>#N/A</v>
      </c>
    </row>
    <row r="446" spans="1:9" s="331" customFormat="1" hidden="1">
      <c r="A446" s="331">
        <v>740240</v>
      </c>
      <c r="B446" s="331" t="s">
        <v>453</v>
      </c>
      <c r="D446" s="329" t="e">
        <v>#N/A</v>
      </c>
      <c r="E446" s="329" t="e">
        <v>#N/A</v>
      </c>
    </row>
    <row r="447" spans="1:9" s="331" customFormat="1" hidden="1">
      <c r="A447" s="331">
        <v>740300</v>
      </c>
      <c r="B447" s="331" t="s">
        <v>454</v>
      </c>
      <c r="D447" s="329" t="e">
        <v>#N/A</v>
      </c>
      <c r="E447" s="329" t="e">
        <v>#N/A</v>
      </c>
      <c r="G447" s="331" t="s">
        <v>34</v>
      </c>
      <c r="H447" s="331" t="s">
        <v>35</v>
      </c>
    </row>
    <row r="448" spans="1:9" s="331" customFormat="1" hidden="1">
      <c r="A448" s="331">
        <v>740310</v>
      </c>
      <c r="B448" s="331" t="s">
        <v>449</v>
      </c>
      <c r="D448" s="329" t="e">
        <v>#N/A</v>
      </c>
      <c r="E448" s="329" t="e">
        <v>#N/A</v>
      </c>
    </row>
    <row r="449" spans="1:8" s="331" customFormat="1" hidden="1">
      <c r="A449" s="331">
        <v>740320</v>
      </c>
      <c r="B449" s="331" t="s">
        <v>450</v>
      </c>
      <c r="D449" s="329" t="e">
        <v>#N/A</v>
      </c>
      <c r="E449" s="329" t="e">
        <v>#N/A</v>
      </c>
    </row>
    <row r="450" spans="1:8" s="331" customFormat="1" hidden="1">
      <c r="A450" s="331">
        <v>740321</v>
      </c>
      <c r="B450" s="331" t="s">
        <v>455</v>
      </c>
      <c r="D450" s="329" t="e">
        <v>#N/A</v>
      </c>
      <c r="E450" s="329" t="e">
        <v>#N/A</v>
      </c>
      <c r="G450" s="331" t="s">
        <v>46</v>
      </c>
      <c r="H450" s="331" t="s">
        <v>47</v>
      </c>
    </row>
    <row r="451" spans="1:8" s="331" customFormat="1" hidden="1">
      <c r="A451" s="331">
        <v>740330</v>
      </c>
      <c r="B451" s="331" t="s">
        <v>452</v>
      </c>
      <c r="D451" s="329" t="e">
        <v>#N/A</v>
      </c>
      <c r="E451" s="329" t="e">
        <v>#N/A</v>
      </c>
    </row>
    <row r="452" spans="1:8" s="331" customFormat="1" hidden="1">
      <c r="A452" s="331">
        <v>740340</v>
      </c>
      <c r="B452" s="331" t="s">
        <v>453</v>
      </c>
      <c r="D452" s="329" t="e">
        <v>#N/A</v>
      </c>
      <c r="E452" s="329" t="e">
        <v>#N/A</v>
      </c>
    </row>
    <row r="453" spans="1:8" s="331" customFormat="1" hidden="1">
      <c r="A453" s="331">
        <v>740400</v>
      </c>
      <c r="B453" s="331" t="s">
        <v>456</v>
      </c>
      <c r="D453" s="329" t="e">
        <v>#N/A</v>
      </c>
      <c r="E453" s="329" t="e">
        <v>#N/A</v>
      </c>
    </row>
    <row r="454" spans="1:8" s="331" customFormat="1" hidden="1">
      <c r="A454" s="331">
        <v>740410</v>
      </c>
      <c r="B454" s="331" t="s">
        <v>449</v>
      </c>
      <c r="D454" s="329" t="e">
        <v>#N/A</v>
      </c>
      <c r="E454" s="329" t="e">
        <v>#N/A</v>
      </c>
    </row>
    <row r="455" spans="1:8" s="331" customFormat="1" hidden="1">
      <c r="A455" s="331">
        <v>740420</v>
      </c>
      <c r="B455" s="331" t="s">
        <v>450</v>
      </c>
      <c r="D455" s="329" t="e">
        <v>#N/A</v>
      </c>
      <c r="E455" s="329" t="e">
        <v>#N/A</v>
      </c>
    </row>
    <row r="456" spans="1:8" s="331" customFormat="1" hidden="1">
      <c r="A456" s="331">
        <v>740421</v>
      </c>
      <c r="B456" s="331" t="s">
        <v>451</v>
      </c>
      <c r="D456" s="329" t="e">
        <v>#N/A</v>
      </c>
      <c r="E456" s="329" t="e">
        <v>#N/A</v>
      </c>
      <c r="G456" s="331" t="s">
        <v>46</v>
      </c>
      <c r="H456" s="331" t="s">
        <v>47</v>
      </c>
    </row>
    <row r="457" spans="1:8" s="331" customFormat="1" hidden="1">
      <c r="A457" s="331">
        <v>740430</v>
      </c>
      <c r="B457" s="331" t="s">
        <v>452</v>
      </c>
      <c r="D457" s="329" t="e">
        <v>#N/A</v>
      </c>
      <c r="E457" s="329" t="e">
        <v>#N/A</v>
      </c>
    </row>
    <row r="458" spans="1:8" s="331" customFormat="1" hidden="1">
      <c r="A458" s="331">
        <v>740440</v>
      </c>
      <c r="B458" s="331" t="s">
        <v>453</v>
      </c>
      <c r="D458" s="329" t="e">
        <v>#N/A</v>
      </c>
      <c r="E458" s="329" t="e">
        <v>#N/A</v>
      </c>
    </row>
    <row r="459" spans="1:8" s="331" customFormat="1" hidden="1">
      <c r="A459" s="331">
        <v>740500</v>
      </c>
      <c r="B459" s="331" t="s">
        <v>457</v>
      </c>
      <c r="D459" s="329" t="e">
        <v>#N/A</v>
      </c>
      <c r="E459" s="329" t="e">
        <v>#N/A</v>
      </c>
    </row>
    <row r="460" spans="1:8" s="331" customFormat="1" hidden="1">
      <c r="A460" s="331">
        <v>740510</v>
      </c>
      <c r="B460" s="331" t="s">
        <v>449</v>
      </c>
      <c r="D460" s="329" t="e">
        <v>#N/A</v>
      </c>
      <c r="E460" s="329" t="e">
        <v>#N/A</v>
      </c>
    </row>
    <row r="461" spans="1:8" s="331" customFormat="1" hidden="1">
      <c r="A461" s="331">
        <v>740520</v>
      </c>
      <c r="B461" s="331" t="s">
        <v>450</v>
      </c>
      <c r="D461" s="329" t="e">
        <v>#N/A</v>
      </c>
      <c r="E461" s="329" t="e">
        <v>#N/A</v>
      </c>
    </row>
    <row r="462" spans="1:8" s="331" customFormat="1" hidden="1">
      <c r="A462" s="331">
        <v>740521</v>
      </c>
      <c r="B462" s="331" t="s">
        <v>451</v>
      </c>
      <c r="D462" s="329" t="e">
        <v>#N/A</v>
      </c>
      <c r="E462" s="329" t="e">
        <v>#N/A</v>
      </c>
      <c r="G462" s="331" t="s">
        <v>46</v>
      </c>
      <c r="H462" s="331" t="s">
        <v>47</v>
      </c>
    </row>
    <row r="463" spans="1:8" s="331" customFormat="1" hidden="1">
      <c r="A463" s="331">
        <v>740530</v>
      </c>
      <c r="B463" s="331" t="s">
        <v>452</v>
      </c>
      <c r="D463" s="329" t="e">
        <v>#N/A</v>
      </c>
      <c r="E463" s="329" t="e">
        <v>#N/A</v>
      </c>
    </row>
    <row r="464" spans="1:8" s="331" customFormat="1" hidden="1">
      <c r="A464" s="331">
        <v>740540</v>
      </c>
      <c r="B464" s="331" t="s">
        <v>453</v>
      </c>
      <c r="D464" s="329" t="e">
        <v>#N/A</v>
      </c>
      <c r="E464" s="329" t="e">
        <v>#N/A</v>
      </c>
    </row>
    <row r="465" spans="1:6" hidden="1">
      <c r="A465" s="330">
        <v>750000</v>
      </c>
      <c r="B465" s="329" t="s">
        <v>458</v>
      </c>
      <c r="C465" s="329"/>
      <c r="D465" s="329" t="e">
        <v>#N/A</v>
      </c>
      <c r="E465" s="329" t="e">
        <v>#N/A</v>
      </c>
      <c r="F465" s="329"/>
    </row>
    <row r="466" spans="1:6" hidden="1">
      <c r="A466" s="330">
        <v>750000</v>
      </c>
      <c r="B466" s="325" t="s">
        <v>459</v>
      </c>
      <c r="D466" s="329" t="e">
        <v>#N/A</v>
      </c>
      <c r="E466" s="329" t="e">
        <v>#N/A</v>
      </c>
    </row>
    <row r="467" spans="1:6" hidden="1">
      <c r="A467" s="330">
        <v>750000</v>
      </c>
      <c r="B467" s="325" t="s">
        <v>460</v>
      </c>
      <c r="D467" s="329" t="e">
        <v>#N/A</v>
      </c>
      <c r="E467" s="329" t="e">
        <v>#N/A</v>
      </c>
    </row>
    <row r="468" spans="1:6" hidden="1">
      <c r="B468" s="325" t="s">
        <v>461</v>
      </c>
    </row>
    <row r="469" spans="1:6" hidden="1">
      <c r="B469" s="325" t="s">
        <v>462</v>
      </c>
    </row>
  </sheetData>
  <autoFilter ref="A8:L469" xr:uid="{00000000-0009-0000-0000-000001000000}">
    <filterColumn colId="6">
      <filters>
        <filter val="ClearSpace"/>
      </filters>
    </filterColumn>
    <filterColumn colId="8">
      <filters>
        <filter val="B"/>
      </filters>
    </filterColumn>
  </autoFilter>
  <phoneticPr fontId="28" type="noConversion"/>
  <conditionalFormatting sqref="G433">
    <cfRule type="duplicateValues" dxfId="7" priority="2"/>
  </conditionalFormatting>
  <conditionalFormatting sqref="G438">
    <cfRule type="duplicateValues" dxfId="6" priority="1"/>
  </conditionalFormatting>
  <conditionalFormatting sqref="H433:I433">
    <cfRule type="duplicateValues" dxfId="5" priority="3"/>
  </conditionalFormatting>
  <conditionalFormatting sqref="H438:I438">
    <cfRule type="duplicateValues" dxfId="4" priority="4"/>
  </conditionalFormatting>
  <printOptions gridLines="1"/>
  <pageMargins left="0.51181102362204722" right="0.51181102362204722" top="0.55118110236220474" bottom="0.55118110236220474" header="0.31496062992125984" footer="0.31496062992125984"/>
  <pageSetup paperSize="8" scale="61" fitToHeight="6" orientation="landscape"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sheetPr>
  <dimension ref="A1:AI92"/>
  <sheetViews>
    <sheetView zoomScale="110" zoomScaleNormal="110" workbookViewId="0">
      <pane xSplit="9" ySplit="12" topLeftCell="AA78" activePane="bottomRight" state="frozen"/>
      <selection pane="topRight" activeCell="AZ351" sqref="AZ351"/>
      <selection pane="bottomLeft" activeCell="AZ351" sqref="AZ351"/>
      <selection pane="bottomRight" activeCell="AZ351" sqref="AZ351"/>
    </sheetView>
  </sheetViews>
  <sheetFormatPr defaultColWidth="8.85546875" defaultRowHeight="15"/>
  <cols>
    <col min="1" max="1" width="5.28515625" customWidth="1"/>
    <col min="2" max="2" width="31.42578125" customWidth="1"/>
    <col min="3" max="3" width="4.28515625" customWidth="1"/>
    <col min="4" max="4" width="6.85546875" customWidth="1"/>
    <col min="5" max="5" width="8.85546875" style="36"/>
    <col min="6" max="6" width="12.42578125" style="36" bestFit="1" customWidth="1"/>
    <col min="7" max="7" width="12.42578125" style="36" customWidth="1"/>
    <col min="8" max="8" width="15.85546875" style="36" customWidth="1"/>
    <col min="9" max="9" width="12.42578125" bestFit="1" customWidth="1"/>
    <col min="11" max="17" width="9.7109375" bestFit="1" customWidth="1"/>
    <col min="18" max="18" width="6.85546875" customWidth="1"/>
    <col min="19" max="19" width="9.7109375" bestFit="1" customWidth="1"/>
    <col min="20" max="21" width="9" bestFit="1" customWidth="1"/>
    <col min="26" max="26" width="6.85546875" customWidth="1"/>
  </cols>
  <sheetData>
    <row r="1" spans="1:34" ht="18.75">
      <c r="A1" s="1" t="s">
        <v>528</v>
      </c>
    </row>
    <row r="5" spans="1:34">
      <c r="B5" s="4" t="s">
        <v>529</v>
      </c>
    </row>
    <row r="6" spans="1:34">
      <c r="B6" s="6" t="s">
        <v>530</v>
      </c>
      <c r="C6" s="7">
        <v>2019</v>
      </c>
    </row>
    <row r="7" spans="1:34">
      <c r="B7" s="6" t="s">
        <v>531</v>
      </c>
      <c r="C7" s="38" t="s">
        <v>532</v>
      </c>
      <c r="D7" s="17" t="s">
        <v>736</v>
      </c>
    </row>
    <row r="8" spans="1:34">
      <c r="I8" t="s">
        <v>533</v>
      </c>
      <c r="J8" s="2">
        <v>2020</v>
      </c>
      <c r="K8" s="2"/>
      <c r="L8" s="2"/>
      <c r="M8" s="2"/>
      <c r="N8" s="3">
        <v>2021</v>
      </c>
      <c r="O8" s="3"/>
      <c r="P8" s="3"/>
      <c r="Q8" s="3"/>
      <c r="R8" s="2">
        <v>2022</v>
      </c>
      <c r="S8" s="2"/>
      <c r="T8" s="2"/>
      <c r="U8" s="2"/>
      <c r="V8" s="3">
        <v>2023</v>
      </c>
      <c r="W8" s="3"/>
      <c r="X8" s="3"/>
      <c r="Y8" s="3"/>
      <c r="Z8" s="2">
        <v>2024</v>
      </c>
      <c r="AA8" s="2"/>
      <c r="AB8" s="2"/>
      <c r="AC8" s="2"/>
      <c r="AD8" s="3">
        <v>2025</v>
      </c>
      <c r="AE8" s="3"/>
      <c r="AF8" s="3"/>
      <c r="AG8" s="3"/>
      <c r="AH8" t="s">
        <v>534</v>
      </c>
    </row>
    <row r="9" spans="1:34">
      <c r="I9" t="s">
        <v>27</v>
      </c>
      <c r="J9" t="s">
        <v>536</v>
      </c>
      <c r="M9" t="s">
        <v>537</v>
      </c>
      <c r="S9" t="s">
        <v>538</v>
      </c>
    </row>
    <row r="10" spans="1:34">
      <c r="A10" t="s">
        <v>541</v>
      </c>
      <c r="B10" s="9" t="s">
        <v>542</v>
      </c>
      <c r="C10" s="10"/>
      <c r="D10" s="11"/>
      <c r="E10" s="36" t="s">
        <v>543</v>
      </c>
      <c r="F10" s="36" t="s">
        <v>544</v>
      </c>
      <c r="G10" s="36" t="s">
        <v>545</v>
      </c>
      <c r="H10" s="36" t="s">
        <v>546</v>
      </c>
      <c r="I10" s="17" t="s">
        <v>547</v>
      </c>
      <c r="J10" s="17" t="s">
        <v>548</v>
      </c>
      <c r="K10" s="17" t="s">
        <v>549</v>
      </c>
      <c r="L10" s="17" t="s">
        <v>550</v>
      </c>
      <c r="M10" s="17" t="s">
        <v>551</v>
      </c>
      <c r="N10" s="17" t="s">
        <v>548</v>
      </c>
      <c r="O10" s="17" t="s">
        <v>549</v>
      </c>
      <c r="P10" s="17" t="s">
        <v>550</v>
      </c>
      <c r="Q10" s="17" t="s">
        <v>551</v>
      </c>
      <c r="R10" s="17" t="s">
        <v>548</v>
      </c>
      <c r="S10" s="17" t="s">
        <v>549</v>
      </c>
      <c r="T10" s="17" t="s">
        <v>550</v>
      </c>
      <c r="U10" s="17" t="s">
        <v>551</v>
      </c>
      <c r="V10" s="17" t="s">
        <v>548</v>
      </c>
      <c r="W10" s="17" t="s">
        <v>549</v>
      </c>
      <c r="X10" s="17" t="s">
        <v>550</v>
      </c>
      <c r="Y10" s="17" t="s">
        <v>551</v>
      </c>
      <c r="Z10" s="17" t="s">
        <v>548</v>
      </c>
      <c r="AA10" s="17" t="s">
        <v>549</v>
      </c>
      <c r="AB10" s="17" t="s">
        <v>550</v>
      </c>
      <c r="AC10" s="17" t="s">
        <v>551</v>
      </c>
      <c r="AD10" s="17" t="s">
        <v>548</v>
      </c>
      <c r="AE10" s="17" t="s">
        <v>549</v>
      </c>
      <c r="AF10" s="17" t="s">
        <v>550</v>
      </c>
      <c r="AG10" s="17" t="s">
        <v>551</v>
      </c>
    </row>
    <row r="11" spans="1:34">
      <c r="B11" s="12" t="s">
        <v>552</v>
      </c>
      <c r="C11" s="13"/>
      <c r="D11" s="14"/>
      <c r="I11" s="17" t="s">
        <v>553</v>
      </c>
      <c r="J11" s="17" t="s">
        <v>554</v>
      </c>
      <c r="K11" s="17"/>
      <c r="L11" s="17"/>
      <c r="M11" s="17" t="s">
        <v>555</v>
      </c>
      <c r="N11" s="17"/>
      <c r="O11" s="17"/>
      <c r="P11" s="17"/>
      <c r="Q11" s="17"/>
      <c r="R11" s="17"/>
      <c r="S11" s="17"/>
      <c r="T11" s="17"/>
      <c r="U11" s="17"/>
      <c r="V11" s="17"/>
      <c r="W11" s="17"/>
      <c r="X11" s="17"/>
      <c r="Y11" s="17"/>
      <c r="Z11" s="17"/>
      <c r="AA11" s="17"/>
      <c r="AB11" s="17"/>
      <c r="AC11" s="17"/>
      <c r="AD11" s="17"/>
      <c r="AE11" s="17"/>
      <c r="AF11" s="17"/>
      <c r="AG11" s="17"/>
    </row>
    <row r="12" spans="1:34">
      <c r="B12" s="39" t="s">
        <v>556</v>
      </c>
      <c r="C12" s="40"/>
      <c r="D12" s="41"/>
      <c r="J12" s="8">
        <v>43862</v>
      </c>
      <c r="K12" s="8">
        <v>43922</v>
      </c>
      <c r="L12" s="8">
        <v>44012</v>
      </c>
      <c r="M12" s="8">
        <v>44227</v>
      </c>
    </row>
    <row r="13" spans="1:34">
      <c r="B13" s="42" t="s">
        <v>557</v>
      </c>
      <c r="C13" s="43"/>
      <c r="D13" s="44"/>
    </row>
    <row r="14" spans="1:34">
      <c r="A14" t="s">
        <v>32</v>
      </c>
      <c r="B14" s="42" t="s">
        <v>558</v>
      </c>
      <c r="C14" s="43"/>
      <c r="D14" s="44"/>
      <c r="E14" s="36" t="s">
        <v>12</v>
      </c>
      <c r="F14" s="36" t="s">
        <v>13</v>
      </c>
      <c r="G14" s="36" t="str">
        <f>CONCATENATE(E14,F14)</f>
        <v>MGTManpower</v>
      </c>
      <c r="H14" s="60">
        <v>110000</v>
      </c>
      <c r="J14" s="119">
        <f>SUMIF(RUAG!$A:$A,'Price Table 8 RUAG'!$A14,RUAG!Z:Z)</f>
        <v>10.449826086956524</v>
      </c>
      <c r="K14" s="119">
        <f>SUMIF(RUAG!$A:$A,'Price Table 8 RUAG'!$A14,RUAG!AA:AA)</f>
        <v>10.449826086956524</v>
      </c>
      <c r="L14" s="119">
        <f>SUMIF(RUAG!$A:$A,'Price Table 8 RUAG'!$A14,RUAG!AB:AB)</f>
        <v>10.449826086956524</v>
      </c>
      <c r="M14" s="119">
        <f>SUMIF(RUAG!$A:$A,'Price Table 8 RUAG'!$A14,RUAG!AC:AC)</f>
        <v>10.449826086956524</v>
      </c>
      <c r="N14" s="119">
        <f>SUMIF(RUAG!$A:$A,'Price Table 8 RUAG'!$A14,RUAG!AD:AD)</f>
        <v>10.449826086956524</v>
      </c>
      <c r="O14" s="119">
        <f>SUMIF(RUAG!$A:$A,'Price Table 8 RUAG'!$A14,RUAG!AE:AE)</f>
        <v>10.449826086956524</v>
      </c>
      <c r="P14" s="119">
        <f>SUMIF(RUAG!$A:$A,'Price Table 8 RUAG'!$A14,RUAG!AF:AF)</f>
        <v>10.449826086956524</v>
      </c>
      <c r="Q14" s="119">
        <f>SUMIF(RUAG!$A:$A,'Price Table 8 RUAG'!$A14,RUAG!AG:AG)</f>
        <v>10.449826086956524</v>
      </c>
      <c r="R14" s="119">
        <f>SUMIF(RUAG!$A:$A,'Price Table 8 RUAG'!$A14,RUAG!AH:AH)</f>
        <v>10.449826086956524</v>
      </c>
      <c r="S14" s="119">
        <f>SUMIF(RUAG!$A:$A,'Price Table 8 RUAG'!$A14,RUAG!AI:AI)</f>
        <v>10.449826086956524</v>
      </c>
      <c r="T14" s="119">
        <f>SUMIF(RUAG!$A:$A,'Price Table 8 RUAG'!$A14,RUAG!AJ:AJ)</f>
        <v>0</v>
      </c>
      <c r="U14" s="119">
        <f>SUMIF(RUAG!$A:$A,'Price Table 8 RUAG'!$A14,RUAG!AK:AK)</f>
        <v>0</v>
      </c>
      <c r="V14" s="28"/>
      <c r="W14" s="28"/>
      <c r="X14" s="28"/>
      <c r="Y14" s="28"/>
      <c r="Z14" s="28"/>
      <c r="AA14" s="28"/>
      <c r="AB14" s="28"/>
      <c r="AC14" s="28"/>
      <c r="AD14" s="28"/>
      <c r="AE14" s="28"/>
      <c r="AF14" s="28"/>
      <c r="AG14" s="28"/>
      <c r="AH14">
        <f>SUM(J14:AG14)</f>
        <v>104.49826086956521</v>
      </c>
    </row>
    <row r="15" spans="1:34">
      <c r="A15" t="s">
        <v>76</v>
      </c>
      <c r="B15" s="42" t="s">
        <v>559</v>
      </c>
      <c r="C15" s="43"/>
      <c r="D15" s="44"/>
      <c r="E15" s="36" t="s">
        <v>12</v>
      </c>
      <c r="F15" s="36" t="s">
        <v>13</v>
      </c>
      <c r="G15" s="36" t="str">
        <f>CONCATENATE(E15,F15)</f>
        <v>MGTManpower</v>
      </c>
      <c r="H15" s="16">
        <v>130000</v>
      </c>
      <c r="J15" s="28"/>
      <c r="K15" s="28"/>
      <c r="L15" s="28"/>
      <c r="M15" s="28"/>
      <c r="N15" s="28"/>
      <c r="O15" s="28"/>
      <c r="P15" s="28"/>
      <c r="Q15" s="28"/>
      <c r="R15" s="28"/>
      <c r="S15" s="28"/>
      <c r="T15" s="28"/>
      <c r="U15" s="28"/>
      <c r="V15" s="28"/>
      <c r="W15" s="28"/>
      <c r="X15" s="28"/>
      <c r="Y15" s="29"/>
      <c r="Z15" s="28"/>
      <c r="AA15" s="28"/>
      <c r="AB15" s="28"/>
      <c r="AC15" s="28"/>
      <c r="AD15" s="28"/>
      <c r="AE15" s="28"/>
      <c r="AF15" s="28"/>
      <c r="AG15" s="28"/>
      <c r="AH15">
        <f t="shared" ref="AH15:AH78" si="0">SUM(J15:AG15)</f>
        <v>0</v>
      </c>
    </row>
    <row r="16" spans="1:34">
      <c r="A16" t="s">
        <v>62</v>
      </c>
      <c r="B16" s="42" t="s">
        <v>560</v>
      </c>
      <c r="C16" s="43"/>
      <c r="D16" s="44"/>
      <c r="E16" s="36" t="s">
        <v>14</v>
      </c>
      <c r="F16" s="36" t="s">
        <v>13</v>
      </c>
      <c r="G16" s="36" t="str">
        <f>CONCATENATE(E16,F16)</f>
        <v>MISSIONManpower</v>
      </c>
      <c r="H16" s="16" t="s">
        <v>561</v>
      </c>
      <c r="J16" s="119">
        <f>SUMIF(RUAG!$A:$A,'Price Table 8 RUAG'!$A16,RUAG!Z:Z)</f>
        <v>0</v>
      </c>
      <c r="K16" s="119">
        <f>SUMIF(RUAG!$A:$A,'Price Table 8 RUAG'!$A16,RUAG!AA:AA)</f>
        <v>0</v>
      </c>
      <c r="L16" s="119">
        <f>SUMIF(RUAG!$A:$A,'Price Table 8 RUAG'!$A16,RUAG!AB:AB)</f>
        <v>10.083152173913044</v>
      </c>
      <c r="M16" s="119">
        <f>SUMIF(RUAG!$A:$A,'Price Table 8 RUAG'!$A16,RUAG!AC:AC)</f>
        <v>10.083152173913044</v>
      </c>
      <c r="N16" s="119">
        <f>SUMIF(RUAG!$A:$A,'Price Table 8 RUAG'!$A16,RUAG!AD:AD)</f>
        <v>10.083152173913044</v>
      </c>
      <c r="O16" s="119">
        <f>SUMIF(RUAG!$A:$A,'Price Table 8 RUAG'!$A16,RUAG!AE:AE)</f>
        <v>10.083152173913044</v>
      </c>
      <c r="P16" s="119">
        <f>SUMIF(RUAG!$A:$A,'Price Table 8 RUAG'!$A16,RUAG!AF:AF)</f>
        <v>10.083152173913044</v>
      </c>
      <c r="Q16" s="119">
        <f>SUMIF(RUAG!$A:$A,'Price Table 8 RUAG'!$A16,RUAG!AG:AG)</f>
        <v>10.083152173913044</v>
      </c>
      <c r="R16" s="119">
        <f>SUMIF(RUAG!$A:$A,'Price Table 8 RUAG'!$A16,RUAG!AH:AH)</f>
        <v>10.083152173913044</v>
      </c>
      <c r="S16" s="119">
        <f>SUMIF(RUAG!$A:$A,'Price Table 8 RUAG'!$A16,RUAG!AI:AI)</f>
        <v>10.083152173913044</v>
      </c>
      <c r="T16" s="119">
        <f>SUMIF(RUAG!$A:$A,'Price Table 8 RUAG'!$A16,RUAG!AJ:AJ)</f>
        <v>0</v>
      </c>
      <c r="U16" s="119">
        <f>SUMIF(RUAG!$A:$A,'Price Table 8 RUAG'!$A16,RUAG!AK:AK)</f>
        <v>0</v>
      </c>
      <c r="V16" s="28"/>
      <c r="W16" s="28"/>
      <c r="X16" s="28"/>
      <c r="Y16" s="29"/>
      <c r="Z16" s="30"/>
      <c r="AA16" s="30"/>
      <c r="AB16" s="30"/>
      <c r="AC16" s="30"/>
      <c r="AD16" s="30"/>
      <c r="AE16" s="30"/>
      <c r="AF16" s="30"/>
      <c r="AG16" s="30"/>
      <c r="AH16">
        <f t="shared" si="0"/>
        <v>80.665217391304353</v>
      </c>
    </row>
    <row r="17" spans="1:34" s="16" customFormat="1">
      <c r="B17" s="45"/>
      <c r="C17" s="55"/>
      <c r="D17" s="56" t="s">
        <v>562</v>
      </c>
      <c r="E17" s="57"/>
      <c r="F17" s="57"/>
      <c r="G17" s="57"/>
      <c r="H17" s="17"/>
      <c r="J17" s="29"/>
      <c r="K17" s="29"/>
      <c r="L17" s="29"/>
      <c r="M17" s="29"/>
      <c r="N17" s="29"/>
      <c r="O17" s="29"/>
      <c r="P17" s="29"/>
      <c r="Q17" s="29"/>
      <c r="R17" s="29"/>
      <c r="S17" s="29"/>
      <c r="T17" s="29"/>
      <c r="U17" s="29"/>
      <c r="V17" s="29"/>
      <c r="W17" s="29"/>
      <c r="X17" s="29"/>
      <c r="Y17" s="58"/>
      <c r="Z17" s="29"/>
      <c r="AA17" s="29"/>
      <c r="AB17" s="29"/>
      <c r="AC17" s="29"/>
      <c r="AD17" s="29"/>
      <c r="AE17" s="29"/>
      <c r="AF17" s="29"/>
      <c r="AG17" s="29"/>
      <c r="AH17">
        <f t="shared" si="0"/>
        <v>0</v>
      </c>
    </row>
    <row r="18" spans="1:34">
      <c r="A18" t="s">
        <v>120</v>
      </c>
      <c r="B18" s="42" t="s">
        <v>563</v>
      </c>
      <c r="C18" s="43"/>
      <c r="D18" s="44"/>
      <c r="E18" s="36" t="s">
        <v>14</v>
      </c>
      <c r="F18" s="36" t="s">
        <v>13</v>
      </c>
      <c r="G18" s="36" t="str">
        <f>CONCATENATE(E18,F18)</f>
        <v>MISSIONManpower</v>
      </c>
      <c r="H18" s="60">
        <v>401000</v>
      </c>
      <c r="I18" s="65" t="s">
        <v>564</v>
      </c>
      <c r="J18" s="119">
        <f>SUMIF(RUAG!$A:$A,'Price Table 8 RUAG'!$A18,RUAG!Z:Z)</f>
        <v>32.266086956521747</v>
      </c>
      <c r="K18" s="119">
        <f>SUMIF(RUAG!$A:$A,'Price Table 8 RUAG'!$A18,RUAG!AA:AA)</f>
        <v>32.266086956521747</v>
      </c>
      <c r="L18" s="119">
        <f>SUMIF(RUAG!$A:$A,'Price Table 8 RUAG'!$A18,RUAG!AB:AB)</f>
        <v>0</v>
      </c>
      <c r="M18" s="119">
        <f>SUMIF(RUAG!$A:$A,'Price Table 8 RUAG'!$A18,RUAG!AC:AC)</f>
        <v>0</v>
      </c>
      <c r="N18" s="119">
        <f>SUMIF(RUAG!$A:$A,'Price Table 8 RUAG'!$A18,RUAG!AD:AD)</f>
        <v>0</v>
      </c>
      <c r="O18" s="119">
        <f>SUMIF(RUAG!$A:$A,'Price Table 8 RUAG'!$A18,RUAG!AE:AE)</f>
        <v>0</v>
      </c>
      <c r="P18" s="119">
        <f>SUMIF(RUAG!$A:$A,'Price Table 8 RUAG'!$A18,RUAG!AF:AF)</f>
        <v>0</v>
      </c>
      <c r="Q18" s="119">
        <f>SUMIF(RUAG!$A:$A,'Price Table 8 RUAG'!$A18,RUAG!AG:AG)</f>
        <v>0</v>
      </c>
      <c r="R18" s="119">
        <f>SUMIF(RUAG!$A:$A,'Price Table 8 RUAG'!$A18,RUAG!AH:AH)</f>
        <v>0</v>
      </c>
      <c r="S18" s="119">
        <f>SUMIF(RUAG!$A:$A,'Price Table 8 RUAG'!$A18,RUAG!AI:AI)</f>
        <v>0</v>
      </c>
      <c r="T18" s="119">
        <f>SUMIF(RUAG!$A:$A,'Price Table 8 RUAG'!$A18,RUAG!AJ:AJ)</f>
        <v>0</v>
      </c>
      <c r="U18" s="119">
        <f>SUMIF(RUAG!$A:$A,'Price Table 8 RUAG'!$A18,RUAG!AK:AK)</f>
        <v>0</v>
      </c>
      <c r="V18" s="28"/>
      <c r="W18" s="28"/>
      <c r="X18" s="28"/>
      <c r="Y18" s="30"/>
      <c r="Z18" s="29"/>
      <c r="AA18" s="29"/>
      <c r="AB18" s="29"/>
      <c r="AC18" s="29"/>
      <c r="AD18" s="29"/>
      <c r="AE18" s="29"/>
      <c r="AF18" s="29"/>
      <c r="AG18" s="29"/>
      <c r="AH18">
        <f t="shared" si="0"/>
        <v>64.532173913043493</v>
      </c>
    </row>
    <row r="19" spans="1:34">
      <c r="A19" t="s">
        <v>351</v>
      </c>
      <c r="B19" s="42" t="s">
        <v>565</v>
      </c>
      <c r="C19" s="43"/>
      <c r="D19" s="44"/>
      <c r="E19" s="36" t="s">
        <v>14</v>
      </c>
      <c r="F19" s="36" t="s">
        <v>13</v>
      </c>
      <c r="G19" s="36" t="str">
        <f>CONCATENATE(E19,F19)</f>
        <v>MISSIONManpower</v>
      </c>
      <c r="H19" s="60" t="s">
        <v>638</v>
      </c>
      <c r="I19" t="s">
        <v>567</v>
      </c>
      <c r="J19" s="28"/>
      <c r="K19" s="28"/>
      <c r="L19" s="28"/>
      <c r="M19" s="28"/>
      <c r="N19" s="28"/>
      <c r="O19" s="28"/>
      <c r="P19" s="28"/>
      <c r="Q19" s="28"/>
      <c r="R19" s="28"/>
      <c r="S19" s="28"/>
      <c r="T19" s="28"/>
      <c r="U19" s="28"/>
      <c r="V19" s="28"/>
      <c r="W19" s="28"/>
      <c r="X19" s="28"/>
      <c r="Y19" s="30"/>
      <c r="Z19" s="28"/>
      <c r="AA19" s="28"/>
      <c r="AB19" s="28"/>
      <c r="AC19" s="28"/>
      <c r="AD19" s="28"/>
      <c r="AE19" s="28"/>
      <c r="AF19" s="28"/>
      <c r="AG19" s="28"/>
      <c r="AH19">
        <f t="shared" si="0"/>
        <v>0</v>
      </c>
    </row>
    <row r="20" spans="1:34">
      <c r="A20" t="s">
        <v>356</v>
      </c>
      <c r="B20" s="42" t="s">
        <v>568</v>
      </c>
      <c r="C20" s="43"/>
      <c r="D20" s="44"/>
      <c r="E20" s="36" t="s">
        <v>14</v>
      </c>
      <c r="F20" s="36" t="s">
        <v>117</v>
      </c>
      <c r="G20" s="36" t="str">
        <f>CONCATENATE(E20,F20)</f>
        <v>MISSIONProcurement</v>
      </c>
      <c r="H20" s="60">
        <v>510000</v>
      </c>
      <c r="I20" t="s">
        <v>569</v>
      </c>
      <c r="J20" s="28"/>
      <c r="K20" s="28"/>
      <c r="L20" s="28"/>
      <c r="M20" s="28"/>
      <c r="N20" s="28"/>
      <c r="O20" s="28"/>
      <c r="P20" s="28"/>
      <c r="Q20" s="28"/>
      <c r="R20" s="28"/>
      <c r="S20" s="28"/>
      <c r="T20" s="28"/>
      <c r="U20" s="28"/>
      <c r="V20" s="28"/>
      <c r="W20" s="28"/>
      <c r="X20" s="28"/>
      <c r="Y20" s="30"/>
      <c r="Z20" s="28"/>
      <c r="AA20" s="28"/>
      <c r="AB20" s="28"/>
      <c r="AC20" s="28"/>
      <c r="AD20" s="28"/>
      <c r="AE20" s="28"/>
      <c r="AF20" s="28"/>
      <c r="AG20" s="28"/>
      <c r="AH20">
        <f t="shared" si="0"/>
        <v>0</v>
      </c>
    </row>
    <row r="21" spans="1:34" s="16" customFormat="1">
      <c r="B21" s="45"/>
      <c r="C21" s="55"/>
      <c r="D21" s="56" t="s">
        <v>562</v>
      </c>
      <c r="E21" s="57"/>
      <c r="F21" s="57"/>
      <c r="G21" s="57"/>
      <c r="H21" s="17"/>
      <c r="J21" s="29"/>
      <c r="K21" s="29"/>
      <c r="L21" s="29"/>
      <c r="M21" s="29"/>
      <c r="N21" s="29"/>
      <c r="O21" s="29"/>
      <c r="P21" s="29"/>
      <c r="Q21" s="29"/>
      <c r="R21" s="29"/>
      <c r="S21" s="29"/>
      <c r="T21" s="29"/>
      <c r="U21" s="29"/>
      <c r="V21" s="29"/>
      <c r="W21" s="29"/>
      <c r="X21" s="29"/>
      <c r="Y21" s="58"/>
      <c r="Z21" s="29"/>
      <c r="AA21" s="29"/>
      <c r="AB21" s="29"/>
      <c r="AC21" s="29"/>
      <c r="AD21" s="29"/>
      <c r="AE21" s="29"/>
      <c r="AF21" s="29"/>
      <c r="AG21" s="29"/>
      <c r="AH21">
        <f t="shared" si="0"/>
        <v>0</v>
      </c>
    </row>
    <row r="22" spans="1:34">
      <c r="B22" s="46" t="s">
        <v>570</v>
      </c>
      <c r="C22" s="47"/>
      <c r="D22" s="41"/>
      <c r="H22"/>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f t="shared" si="0"/>
        <v>0</v>
      </c>
    </row>
    <row r="23" spans="1:34">
      <c r="B23" s="48" t="s">
        <v>571</v>
      </c>
      <c r="C23" s="49"/>
      <c r="D23" s="50"/>
      <c r="H23"/>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f t="shared" si="0"/>
        <v>0</v>
      </c>
    </row>
    <row r="24" spans="1:34">
      <c r="A24" t="s">
        <v>160</v>
      </c>
      <c r="B24" s="51" t="s">
        <v>572</v>
      </c>
      <c r="C24" s="43"/>
      <c r="D24" s="44"/>
      <c r="E24" s="36" t="s">
        <v>139</v>
      </c>
      <c r="F24" s="36" t="s">
        <v>13</v>
      </c>
      <c r="G24" s="36" t="str">
        <f>CONCATENATE(E24,F24)</f>
        <v>TECHManpower</v>
      </c>
      <c r="H24" s="16">
        <v>410000</v>
      </c>
      <c r="J24" s="28"/>
      <c r="K24" s="28"/>
      <c r="L24" s="28"/>
      <c r="M24" s="28"/>
      <c r="N24" s="28"/>
      <c r="O24" s="28"/>
      <c r="P24" s="28"/>
      <c r="Q24" s="28"/>
      <c r="R24" s="28"/>
      <c r="S24" s="28"/>
      <c r="T24" s="28"/>
      <c r="U24" s="28"/>
      <c r="V24" s="28"/>
      <c r="W24" s="28"/>
      <c r="X24" s="28"/>
      <c r="Y24" s="29"/>
      <c r="Z24" s="28"/>
      <c r="AA24" s="28"/>
      <c r="AB24" s="28"/>
      <c r="AC24" s="28"/>
      <c r="AD24" s="28"/>
      <c r="AE24" s="28"/>
      <c r="AF24" s="28"/>
      <c r="AG24" s="28"/>
      <c r="AH24">
        <f t="shared" si="0"/>
        <v>0</v>
      </c>
    </row>
    <row r="25" spans="1:34">
      <c r="A25" t="s">
        <v>573</v>
      </c>
      <c r="B25" s="51" t="s">
        <v>574</v>
      </c>
      <c r="C25" s="43"/>
      <c r="D25" s="44"/>
      <c r="E25" s="36" t="s">
        <v>14</v>
      </c>
      <c r="F25" s="36" t="s">
        <v>13</v>
      </c>
      <c r="G25" s="36" t="str">
        <f>CONCATENATE(E25,F25)</f>
        <v>MISSIONManpower</v>
      </c>
      <c r="H25" s="70" t="s">
        <v>639</v>
      </c>
      <c r="J25" s="28"/>
      <c r="K25" s="28"/>
      <c r="L25" s="28"/>
      <c r="M25" s="28"/>
      <c r="N25" s="28"/>
      <c r="O25" s="28"/>
      <c r="P25" s="28"/>
      <c r="Q25" s="28"/>
      <c r="R25" s="28"/>
      <c r="S25" s="28"/>
      <c r="T25" s="28"/>
      <c r="U25" s="28"/>
      <c r="V25" s="28"/>
      <c r="W25" s="28"/>
      <c r="X25" s="28"/>
      <c r="Y25" s="31"/>
      <c r="Z25" s="28"/>
      <c r="AA25" s="28"/>
      <c r="AB25" s="28"/>
      <c r="AC25" s="28"/>
      <c r="AD25" s="28"/>
      <c r="AE25" s="28"/>
      <c r="AF25" s="28"/>
      <c r="AG25" s="28"/>
      <c r="AH25">
        <f t="shared" si="0"/>
        <v>0</v>
      </c>
    </row>
    <row r="26" spans="1:34" s="16" customFormat="1">
      <c r="B26" s="45"/>
      <c r="C26" s="55"/>
      <c r="D26" s="56" t="s">
        <v>562</v>
      </c>
      <c r="E26" s="57"/>
      <c r="F26" s="57"/>
      <c r="G26" s="57"/>
      <c r="H26" s="17"/>
      <c r="J26" s="29"/>
      <c r="K26" s="29"/>
      <c r="L26" s="29"/>
      <c r="M26" s="29"/>
      <c r="N26" s="29"/>
      <c r="O26" s="29"/>
      <c r="P26" s="29"/>
      <c r="Q26" s="29"/>
      <c r="R26" s="29"/>
      <c r="S26" s="29"/>
      <c r="T26" s="29"/>
      <c r="U26" s="29"/>
      <c r="V26" s="29"/>
      <c r="W26" s="29"/>
      <c r="X26" s="29"/>
      <c r="Y26" s="58"/>
      <c r="Z26" s="29"/>
      <c r="AA26" s="29"/>
      <c r="AB26" s="29"/>
      <c r="AC26" s="29"/>
      <c r="AD26" s="29"/>
      <c r="AE26" s="29"/>
      <c r="AF26" s="29"/>
      <c r="AG26" s="29"/>
      <c r="AH26">
        <f t="shared" si="0"/>
        <v>0</v>
      </c>
    </row>
    <row r="27" spans="1:34">
      <c r="B27" s="48" t="s">
        <v>575</v>
      </c>
      <c r="C27" s="52"/>
      <c r="D27" s="50"/>
      <c r="H27"/>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f t="shared" si="0"/>
        <v>0</v>
      </c>
    </row>
    <row r="28" spans="1:34">
      <c r="A28" t="s">
        <v>180</v>
      </c>
      <c r="B28" s="51" t="s">
        <v>576</v>
      </c>
      <c r="C28" s="53"/>
      <c r="D28" s="44"/>
      <c r="E28" s="37" t="s">
        <v>14</v>
      </c>
      <c r="F28" s="59" t="s">
        <v>13</v>
      </c>
      <c r="G28" s="36" t="str">
        <f>CONCATENATE(E28,F28)</f>
        <v>MISSIONManpower</v>
      </c>
      <c r="H28" s="71">
        <v>430000</v>
      </c>
      <c r="I28" s="74" t="s">
        <v>577</v>
      </c>
      <c r="J28" s="28"/>
      <c r="K28" s="28"/>
      <c r="L28" s="28"/>
      <c r="M28" s="28"/>
      <c r="N28" s="28"/>
      <c r="O28" s="28"/>
      <c r="P28" s="28"/>
      <c r="Q28" s="28"/>
      <c r="R28" s="28"/>
      <c r="S28" s="28"/>
      <c r="T28" s="28"/>
      <c r="U28" s="28"/>
      <c r="V28" s="28"/>
      <c r="W28" s="28"/>
      <c r="X28" s="28"/>
      <c r="Y28" s="32"/>
      <c r="Z28" s="28"/>
      <c r="AA28" s="28"/>
      <c r="AB28" s="28"/>
      <c r="AC28" s="28"/>
      <c r="AD28" s="28"/>
      <c r="AE28" s="28"/>
      <c r="AF28" s="28"/>
      <c r="AG28" s="28"/>
      <c r="AH28">
        <f t="shared" si="0"/>
        <v>0</v>
      </c>
    </row>
    <row r="29" spans="1:34">
      <c r="A29" t="s">
        <v>578</v>
      </c>
      <c r="B29" s="51" t="s">
        <v>579</v>
      </c>
      <c r="C29" s="53"/>
      <c r="D29" s="44"/>
      <c r="E29" s="37" t="s">
        <v>14</v>
      </c>
      <c r="F29" s="59" t="s">
        <v>117</v>
      </c>
      <c r="G29" s="36" t="str">
        <f>CONCATENATE(E29,F29)</f>
        <v>MISSIONProcurement</v>
      </c>
      <c r="H29" s="72">
        <v>430000</v>
      </c>
      <c r="I29" s="74" t="s">
        <v>577</v>
      </c>
      <c r="J29" s="28"/>
      <c r="K29" s="28"/>
      <c r="L29" s="28"/>
      <c r="M29" s="28"/>
      <c r="N29" s="28"/>
      <c r="O29" s="28"/>
      <c r="P29" s="28"/>
      <c r="Q29" s="28"/>
      <c r="R29" s="28"/>
      <c r="S29" s="28"/>
      <c r="T29" s="28"/>
      <c r="U29" s="28"/>
      <c r="V29" s="28"/>
      <c r="W29" s="28"/>
      <c r="X29" s="28"/>
      <c r="Y29" s="29"/>
      <c r="Z29" s="28"/>
      <c r="AA29" s="28"/>
      <c r="AB29" s="28"/>
      <c r="AC29" s="28"/>
      <c r="AD29" s="28"/>
      <c r="AE29" s="28"/>
      <c r="AF29" s="28"/>
      <c r="AG29" s="28"/>
      <c r="AH29">
        <f t="shared" si="0"/>
        <v>0</v>
      </c>
    </row>
    <row r="30" spans="1:34" s="16" customFormat="1">
      <c r="B30" s="45"/>
      <c r="C30" s="55"/>
      <c r="D30" s="56" t="s">
        <v>562</v>
      </c>
      <c r="E30" s="57"/>
      <c r="F30" s="57"/>
      <c r="G30" s="57"/>
      <c r="H30" s="17"/>
      <c r="J30" s="29"/>
      <c r="K30" s="29"/>
      <c r="L30" s="29"/>
      <c r="M30" s="29"/>
      <c r="N30" s="29"/>
      <c r="O30" s="29"/>
      <c r="P30" s="29"/>
      <c r="Q30" s="29"/>
      <c r="R30" s="29"/>
      <c r="S30" s="29"/>
      <c r="T30" s="29"/>
      <c r="U30" s="29"/>
      <c r="V30" s="29"/>
      <c r="W30" s="29"/>
      <c r="X30" s="29"/>
      <c r="Y30" s="58"/>
      <c r="Z30" s="29"/>
      <c r="AA30" s="29"/>
      <c r="AB30" s="29"/>
      <c r="AC30" s="29"/>
      <c r="AD30" s="29"/>
      <c r="AE30" s="29"/>
      <c r="AF30" s="29"/>
      <c r="AG30" s="29"/>
      <c r="AH30">
        <f t="shared" si="0"/>
        <v>0</v>
      </c>
    </row>
    <row r="31" spans="1:34">
      <c r="B31" s="48" t="s">
        <v>580</v>
      </c>
      <c r="C31" s="52"/>
      <c r="D31" s="50"/>
      <c r="E31" s="37"/>
      <c r="F31" s="37"/>
      <c r="G31" s="37"/>
      <c r="H31" s="62"/>
      <c r="I31" s="1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f t="shared" si="0"/>
        <v>0</v>
      </c>
    </row>
    <row r="32" spans="1:34">
      <c r="A32" t="s">
        <v>173</v>
      </c>
      <c r="B32" s="51" t="s">
        <v>581</v>
      </c>
      <c r="C32" s="53"/>
      <c r="D32" s="44"/>
      <c r="E32" s="37" t="s">
        <v>14</v>
      </c>
      <c r="F32" s="36" t="s">
        <v>13</v>
      </c>
      <c r="G32" s="36" t="str">
        <f>CONCATENATE(E32,F32)</f>
        <v>MISSIONManpower</v>
      </c>
      <c r="H32" s="61">
        <v>420000</v>
      </c>
      <c r="I32" s="74" t="s">
        <v>577</v>
      </c>
      <c r="J32" s="28"/>
      <c r="K32" s="28"/>
      <c r="L32" s="28"/>
      <c r="M32" s="28"/>
      <c r="N32" s="28"/>
      <c r="O32" s="28"/>
      <c r="P32" s="28"/>
      <c r="Q32" s="28"/>
      <c r="R32" s="28"/>
      <c r="S32" s="28"/>
      <c r="T32" s="28"/>
      <c r="U32" s="28"/>
      <c r="V32" s="28"/>
      <c r="W32" s="28"/>
      <c r="X32" s="28"/>
      <c r="Y32" s="32"/>
      <c r="Z32" s="28"/>
      <c r="AA32" s="28"/>
      <c r="AB32" s="28"/>
      <c r="AC32" s="28"/>
      <c r="AD32" s="28"/>
      <c r="AE32" s="28"/>
      <c r="AF32" s="28"/>
      <c r="AG32" s="28"/>
      <c r="AH32">
        <f t="shared" si="0"/>
        <v>0</v>
      </c>
    </row>
    <row r="33" spans="1:34">
      <c r="A33" t="s">
        <v>582</v>
      </c>
      <c r="B33" s="51" t="s">
        <v>583</v>
      </c>
      <c r="C33" s="53"/>
      <c r="D33" s="44"/>
      <c r="E33" s="37" t="s">
        <v>14</v>
      </c>
      <c r="F33" s="36" t="s">
        <v>117</v>
      </c>
      <c r="G33" s="36" t="str">
        <f>CONCATENATE(E33,F33)</f>
        <v>MISSIONProcurement</v>
      </c>
      <c r="H33" s="61">
        <v>420000</v>
      </c>
      <c r="I33" s="74" t="s">
        <v>577</v>
      </c>
      <c r="J33" s="28"/>
      <c r="K33" s="28"/>
      <c r="L33" s="28"/>
      <c r="M33" s="28"/>
      <c r="N33" s="28"/>
      <c r="O33" s="28"/>
      <c r="P33" s="28"/>
      <c r="Q33" s="28"/>
      <c r="R33" s="28"/>
      <c r="S33" s="28"/>
      <c r="T33" s="28"/>
      <c r="U33" s="28"/>
      <c r="V33" s="28"/>
      <c r="W33" s="28"/>
      <c r="X33" s="28"/>
      <c r="Y33" s="32"/>
      <c r="Z33" s="28"/>
      <c r="AA33" s="28"/>
      <c r="AB33" s="28"/>
      <c r="AC33" s="28"/>
      <c r="AD33" s="28"/>
      <c r="AE33" s="28"/>
      <c r="AF33" s="28"/>
      <c r="AG33" s="28"/>
      <c r="AH33">
        <f t="shared" si="0"/>
        <v>0</v>
      </c>
    </row>
    <row r="34" spans="1:34" s="16" customFormat="1">
      <c r="B34" s="45"/>
      <c r="C34" s="55"/>
      <c r="D34" s="56" t="s">
        <v>562</v>
      </c>
      <c r="E34" s="57"/>
      <c r="F34" s="57"/>
      <c r="G34" s="57"/>
      <c r="H34" s="17"/>
      <c r="J34" s="29"/>
      <c r="K34" s="29"/>
      <c r="L34" s="29"/>
      <c r="M34" s="29"/>
      <c r="N34" s="29"/>
      <c r="O34" s="29"/>
      <c r="P34" s="29"/>
      <c r="Q34" s="29"/>
      <c r="R34" s="29"/>
      <c r="S34" s="29"/>
      <c r="T34" s="29"/>
      <c r="U34" s="29"/>
      <c r="V34" s="29"/>
      <c r="W34" s="29"/>
      <c r="X34" s="29"/>
      <c r="Y34" s="58"/>
      <c r="Z34" s="29"/>
      <c r="AA34" s="29"/>
      <c r="AB34" s="29"/>
      <c r="AC34" s="29"/>
      <c r="AD34" s="29"/>
      <c r="AE34" s="29"/>
      <c r="AF34" s="29"/>
      <c r="AG34" s="29"/>
      <c r="AH34">
        <f t="shared" si="0"/>
        <v>0</v>
      </c>
    </row>
    <row r="35" spans="1:34">
      <c r="B35" s="48" t="s">
        <v>584</v>
      </c>
      <c r="C35" s="52"/>
      <c r="D35" s="50"/>
      <c r="H35"/>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f t="shared" si="0"/>
        <v>0</v>
      </c>
    </row>
    <row r="36" spans="1:34">
      <c r="A36" t="s">
        <v>187</v>
      </c>
      <c r="B36" s="51" t="s">
        <v>585</v>
      </c>
      <c r="C36" s="53"/>
      <c r="D36" s="44"/>
      <c r="E36" s="37" t="s">
        <v>14</v>
      </c>
      <c r="F36" s="36" t="s">
        <v>13</v>
      </c>
      <c r="G36" s="36" t="str">
        <f>CONCATENATE(E36,F36)</f>
        <v>MISSIONManpower</v>
      </c>
      <c r="H36" s="61">
        <v>440000</v>
      </c>
      <c r="I36" t="s">
        <v>586</v>
      </c>
      <c r="J36" s="28"/>
      <c r="K36" s="28"/>
      <c r="L36" s="28"/>
      <c r="M36" s="28"/>
      <c r="N36" s="28"/>
      <c r="O36" s="28"/>
      <c r="P36" s="28"/>
      <c r="Q36" s="28"/>
      <c r="R36" s="28"/>
      <c r="S36" s="28"/>
      <c r="T36" s="28"/>
      <c r="U36" s="28"/>
      <c r="V36" s="28"/>
      <c r="W36" s="28"/>
      <c r="X36" s="28"/>
      <c r="Y36" s="32"/>
      <c r="Z36" s="28"/>
      <c r="AA36" s="28"/>
      <c r="AB36" s="28"/>
      <c r="AC36" s="28"/>
      <c r="AD36" s="28"/>
      <c r="AE36" s="28"/>
      <c r="AF36" s="28"/>
      <c r="AG36" s="28"/>
      <c r="AH36">
        <f t="shared" si="0"/>
        <v>0</v>
      </c>
    </row>
    <row r="37" spans="1:34">
      <c r="A37" t="s">
        <v>587</v>
      </c>
      <c r="B37" s="51" t="s">
        <v>588</v>
      </c>
      <c r="C37" s="53"/>
      <c r="D37" s="44"/>
      <c r="E37" s="37" t="s">
        <v>14</v>
      </c>
      <c r="F37" s="36" t="s">
        <v>117</v>
      </c>
      <c r="G37" s="36" t="str">
        <f>CONCATENATE(E37,F37)</f>
        <v>MISSIONProcurement</v>
      </c>
      <c r="H37"/>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f t="shared" si="0"/>
        <v>0</v>
      </c>
    </row>
    <row r="38" spans="1:34" s="16" customFormat="1">
      <c r="B38" s="45"/>
      <c r="C38" s="55"/>
      <c r="D38" s="56" t="s">
        <v>562</v>
      </c>
      <c r="E38" s="57"/>
      <c r="F38" s="57"/>
      <c r="G38" s="57"/>
      <c r="H38" s="17"/>
      <c r="J38" s="29"/>
      <c r="K38" s="29"/>
      <c r="L38" s="29"/>
      <c r="M38" s="29"/>
      <c r="N38" s="29"/>
      <c r="O38" s="29"/>
      <c r="P38" s="29"/>
      <c r="Q38" s="29"/>
      <c r="R38" s="29"/>
      <c r="S38" s="29"/>
      <c r="T38" s="29"/>
      <c r="U38" s="29"/>
      <c r="V38" s="29"/>
      <c r="W38" s="29"/>
      <c r="X38" s="29"/>
      <c r="Y38" s="58"/>
      <c r="Z38" s="29"/>
      <c r="AA38" s="29"/>
      <c r="AB38" s="29"/>
      <c r="AC38" s="29"/>
      <c r="AD38" s="29"/>
      <c r="AE38" s="29"/>
      <c r="AF38" s="29"/>
      <c r="AG38" s="29"/>
      <c r="AH38">
        <f t="shared" si="0"/>
        <v>0</v>
      </c>
    </row>
    <row r="39" spans="1:34">
      <c r="B39" s="48" t="s">
        <v>589</v>
      </c>
      <c r="C39" s="49"/>
      <c r="D39" s="50"/>
      <c r="H39"/>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f t="shared" si="0"/>
        <v>0</v>
      </c>
    </row>
    <row r="40" spans="1:34">
      <c r="A40" t="s">
        <v>204</v>
      </c>
      <c r="B40" s="51" t="s">
        <v>590</v>
      </c>
      <c r="C40" s="53"/>
      <c r="D40" s="44"/>
      <c r="E40" s="36" t="s">
        <v>14</v>
      </c>
      <c r="F40" s="36" t="s">
        <v>13</v>
      </c>
      <c r="G40" s="36" t="str">
        <f>CONCATENATE(E40,F40)</f>
        <v>MISSIONManpower</v>
      </c>
      <c r="H40" s="61">
        <v>450000</v>
      </c>
      <c r="I40" s="66" t="s">
        <v>591</v>
      </c>
      <c r="J40" s="28"/>
      <c r="K40" s="28"/>
      <c r="L40" s="28"/>
      <c r="M40" s="28"/>
      <c r="N40" s="28"/>
      <c r="O40" s="28"/>
      <c r="P40" s="28"/>
      <c r="Q40" s="28"/>
      <c r="R40" s="28"/>
      <c r="S40" s="28"/>
      <c r="T40" s="28"/>
      <c r="U40" s="28"/>
      <c r="V40" s="28"/>
      <c r="W40" s="28"/>
      <c r="X40" s="28"/>
      <c r="Y40" s="32"/>
      <c r="Z40" s="28"/>
      <c r="AA40" s="28"/>
      <c r="AB40" s="28"/>
      <c r="AC40" s="28"/>
      <c r="AD40" s="28"/>
      <c r="AE40" s="28"/>
      <c r="AF40" s="28"/>
      <c r="AG40" s="28"/>
      <c r="AH40">
        <f t="shared" si="0"/>
        <v>0</v>
      </c>
    </row>
    <row r="41" spans="1:34">
      <c r="A41" t="s">
        <v>592</v>
      </c>
      <c r="B41" s="51" t="s">
        <v>593</v>
      </c>
      <c r="C41" s="53"/>
      <c r="D41" s="44"/>
      <c r="E41" s="36" t="s">
        <v>14</v>
      </c>
      <c r="F41" s="36" t="s">
        <v>117</v>
      </c>
      <c r="G41" s="36" t="str">
        <f>CONCATENATE(E41,F41)</f>
        <v>MISSIONProcurement</v>
      </c>
      <c r="H41"/>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f t="shared" si="0"/>
        <v>0</v>
      </c>
    </row>
    <row r="42" spans="1:34" s="16" customFormat="1">
      <c r="B42" s="45"/>
      <c r="C42" s="55"/>
      <c r="D42" s="56" t="s">
        <v>562</v>
      </c>
      <c r="E42" s="57"/>
      <c r="F42" s="57"/>
      <c r="G42" s="57"/>
      <c r="H42" s="17"/>
      <c r="J42" s="29"/>
      <c r="K42" s="29"/>
      <c r="L42" s="29"/>
      <c r="M42" s="29"/>
      <c r="N42" s="29"/>
      <c r="O42" s="29"/>
      <c r="P42" s="29"/>
      <c r="Q42" s="29"/>
      <c r="R42" s="29"/>
      <c r="S42" s="29"/>
      <c r="T42" s="29"/>
      <c r="U42" s="29"/>
      <c r="V42" s="29"/>
      <c r="W42" s="29"/>
      <c r="X42" s="29"/>
      <c r="Y42" s="58"/>
      <c r="Z42" s="29"/>
      <c r="AA42" s="29"/>
      <c r="AB42" s="29"/>
      <c r="AC42" s="29"/>
      <c r="AD42" s="29"/>
      <c r="AE42" s="29"/>
      <c r="AF42" s="29"/>
      <c r="AG42" s="29"/>
      <c r="AH42">
        <f t="shared" si="0"/>
        <v>0</v>
      </c>
    </row>
    <row r="43" spans="1:34">
      <c r="B43" s="48" t="s">
        <v>157</v>
      </c>
      <c r="C43" s="52"/>
      <c r="D43" s="50"/>
      <c r="H43"/>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f t="shared" si="0"/>
        <v>0</v>
      </c>
    </row>
    <row r="44" spans="1:34">
      <c r="A44" t="s">
        <v>275</v>
      </c>
      <c r="B44" s="51" t="s">
        <v>594</v>
      </c>
      <c r="C44" s="53"/>
      <c r="D44" s="44"/>
      <c r="E44" s="37" t="s">
        <v>14</v>
      </c>
      <c r="F44" s="36" t="s">
        <v>13</v>
      </c>
      <c r="G44" s="36" t="str">
        <f>CONCATENATE(E44,F44)</f>
        <v>MISSIONManpower</v>
      </c>
      <c r="H44" s="16">
        <v>470000</v>
      </c>
      <c r="I44" t="s">
        <v>595</v>
      </c>
      <c r="J44" s="28"/>
      <c r="K44" s="28"/>
      <c r="L44" s="28"/>
      <c r="M44" s="28"/>
      <c r="N44" s="28"/>
      <c r="O44" s="28"/>
      <c r="P44" s="28"/>
      <c r="Q44" s="28"/>
      <c r="R44" s="28"/>
      <c r="S44" s="28"/>
      <c r="T44" s="28"/>
      <c r="U44" s="28"/>
      <c r="V44" s="28"/>
      <c r="W44" s="28"/>
      <c r="X44" s="28"/>
      <c r="Y44" s="29"/>
      <c r="Z44" s="28"/>
      <c r="AA44" s="28"/>
      <c r="AB44" s="28"/>
      <c r="AC44" s="28"/>
      <c r="AD44" s="28"/>
      <c r="AE44" s="28"/>
      <c r="AF44" s="28"/>
      <c r="AG44" s="28"/>
      <c r="AH44">
        <f t="shared" si="0"/>
        <v>0</v>
      </c>
    </row>
    <row r="45" spans="1:34">
      <c r="A45" t="s">
        <v>596</v>
      </c>
      <c r="B45" s="51" t="s">
        <v>597</v>
      </c>
      <c r="C45" s="53"/>
      <c r="D45" s="44"/>
      <c r="E45" s="37" t="s">
        <v>14</v>
      </c>
      <c r="F45" s="36" t="s">
        <v>117</v>
      </c>
      <c r="G45" s="36" t="str">
        <f>CONCATENATE(E45,F45)</f>
        <v>MISSIONProcurement</v>
      </c>
      <c r="H45" s="16">
        <v>470000</v>
      </c>
      <c r="I45" t="s">
        <v>595</v>
      </c>
      <c r="J45" s="28"/>
      <c r="K45" s="28"/>
      <c r="L45" s="28"/>
      <c r="M45" s="28"/>
      <c r="N45" s="28"/>
      <c r="O45" s="28"/>
      <c r="P45" s="28"/>
      <c r="Q45" s="28"/>
      <c r="R45" s="28"/>
      <c r="S45" s="28"/>
      <c r="T45" s="28"/>
      <c r="U45" s="28"/>
      <c r="V45" s="28"/>
      <c r="W45" s="28"/>
      <c r="X45" s="28"/>
      <c r="Y45" s="29"/>
      <c r="Z45" s="28"/>
      <c r="AA45" s="28"/>
      <c r="AB45" s="28"/>
      <c r="AC45" s="28"/>
      <c r="AD45" s="28"/>
      <c r="AE45" s="28"/>
      <c r="AF45" s="28"/>
      <c r="AG45" s="28"/>
      <c r="AH45">
        <f t="shared" si="0"/>
        <v>0</v>
      </c>
    </row>
    <row r="46" spans="1:34" s="16" customFormat="1">
      <c r="B46" s="45"/>
      <c r="C46" s="55"/>
      <c r="D46" s="56" t="s">
        <v>562</v>
      </c>
      <c r="E46" s="57"/>
      <c r="F46" s="57"/>
      <c r="G46" s="57"/>
      <c r="J46" s="29"/>
      <c r="K46" s="29"/>
      <c r="L46" s="29"/>
      <c r="M46" s="29"/>
      <c r="N46" s="29"/>
      <c r="O46" s="29"/>
      <c r="P46" s="29"/>
      <c r="Q46" s="29"/>
      <c r="R46" s="29"/>
      <c r="S46" s="29"/>
      <c r="T46" s="29"/>
      <c r="U46" s="29"/>
      <c r="V46" s="29"/>
      <c r="W46" s="29"/>
      <c r="X46" s="29"/>
      <c r="Y46" s="58"/>
      <c r="Z46" s="29"/>
      <c r="AA46" s="29"/>
      <c r="AB46" s="29"/>
      <c r="AC46" s="29"/>
      <c r="AD46" s="29"/>
      <c r="AE46" s="29"/>
      <c r="AF46" s="29"/>
      <c r="AG46" s="29"/>
      <c r="AH46">
        <f t="shared" si="0"/>
        <v>0</v>
      </c>
    </row>
    <row r="47" spans="1:34">
      <c r="B47" s="48" t="s">
        <v>598</v>
      </c>
      <c r="C47" s="52"/>
      <c r="D47" s="50"/>
      <c r="H47" s="17"/>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f t="shared" si="0"/>
        <v>0</v>
      </c>
    </row>
    <row r="48" spans="1:34">
      <c r="A48" t="s">
        <v>321</v>
      </c>
      <c r="B48" s="51" t="s">
        <v>599</v>
      </c>
      <c r="C48" s="53"/>
      <c r="D48" s="44"/>
      <c r="E48" s="36" t="s">
        <v>139</v>
      </c>
      <c r="F48" s="36" t="s">
        <v>13</v>
      </c>
      <c r="G48" s="36" t="str">
        <f>CONCATENATE(E48,F48)</f>
        <v>TECHManpower</v>
      </c>
      <c r="H48" s="63" t="s">
        <v>600</v>
      </c>
      <c r="I48" s="65" t="s">
        <v>601</v>
      </c>
      <c r="J48" s="28"/>
      <c r="K48" s="28"/>
      <c r="L48" s="28"/>
      <c r="M48" s="28"/>
      <c r="N48" s="28"/>
      <c r="O48" s="28"/>
      <c r="P48" s="28"/>
      <c r="Q48" s="28"/>
      <c r="R48" s="28"/>
      <c r="S48" s="28"/>
      <c r="T48" s="28"/>
      <c r="U48" s="28"/>
      <c r="V48" s="28"/>
      <c r="W48" s="28"/>
      <c r="X48" s="28"/>
      <c r="Y48" s="33"/>
      <c r="Z48" s="28"/>
      <c r="AA48" s="28"/>
      <c r="AB48" s="28"/>
      <c r="AC48" s="28"/>
      <c r="AD48" s="28"/>
      <c r="AE48" s="28"/>
      <c r="AF48" s="28"/>
      <c r="AG48" s="28"/>
      <c r="AH48">
        <f t="shared" si="0"/>
        <v>0</v>
      </c>
    </row>
    <row r="49" spans="1:34">
      <c r="A49" t="s">
        <v>602</v>
      </c>
      <c r="B49" s="51" t="s">
        <v>603</v>
      </c>
      <c r="C49" s="53"/>
      <c r="D49" s="44"/>
      <c r="E49" s="36" t="s">
        <v>139</v>
      </c>
      <c r="F49" s="36" t="s">
        <v>117</v>
      </c>
      <c r="G49" s="36" t="str">
        <f>CONCATENATE(E49,F49)</f>
        <v>TECHProcurement</v>
      </c>
      <c r="H49" s="63" t="s">
        <v>600</v>
      </c>
      <c r="I49" s="65" t="s">
        <v>601</v>
      </c>
      <c r="J49" s="28"/>
      <c r="K49" s="28"/>
      <c r="L49" s="28"/>
      <c r="M49" s="28"/>
      <c r="N49" s="28"/>
      <c r="O49" s="28"/>
      <c r="P49" s="28"/>
      <c r="Q49" s="28"/>
      <c r="R49" s="28"/>
      <c r="S49" s="28"/>
      <c r="T49" s="28"/>
      <c r="U49" s="28"/>
      <c r="V49" s="28"/>
      <c r="W49" s="28"/>
      <c r="X49" s="28"/>
      <c r="Y49" s="33"/>
      <c r="Z49" s="28"/>
      <c r="AA49" s="28"/>
      <c r="AB49" s="28"/>
      <c r="AC49" s="28"/>
      <c r="AD49" s="28"/>
      <c r="AE49" s="28"/>
      <c r="AF49" s="28"/>
      <c r="AG49" s="28"/>
      <c r="AH49">
        <f t="shared" si="0"/>
        <v>0</v>
      </c>
    </row>
    <row r="50" spans="1:34" s="16" customFormat="1">
      <c r="B50" s="45"/>
      <c r="C50" s="55"/>
      <c r="D50" s="56" t="s">
        <v>562</v>
      </c>
      <c r="E50" s="57"/>
      <c r="F50" s="57"/>
      <c r="G50" s="57"/>
      <c r="H50" s="63"/>
      <c r="I50" s="65"/>
      <c r="J50" s="29"/>
      <c r="K50" s="29"/>
      <c r="L50" s="29"/>
      <c r="M50" s="29"/>
      <c r="N50" s="29"/>
      <c r="O50" s="29"/>
      <c r="P50" s="29"/>
      <c r="Q50" s="29"/>
      <c r="R50" s="29"/>
      <c r="S50" s="29"/>
      <c r="T50" s="29"/>
      <c r="U50" s="29"/>
      <c r="V50" s="29"/>
      <c r="W50" s="29"/>
      <c r="X50" s="29"/>
      <c r="Y50" s="58"/>
      <c r="Z50" s="29"/>
      <c r="AA50" s="29"/>
      <c r="AB50" s="29"/>
      <c r="AC50" s="29"/>
      <c r="AD50" s="29"/>
      <c r="AE50" s="29"/>
      <c r="AF50" s="29"/>
      <c r="AG50" s="29"/>
      <c r="AH50">
        <f t="shared" si="0"/>
        <v>0</v>
      </c>
    </row>
    <row r="51" spans="1:34">
      <c r="B51" s="48" t="s">
        <v>604</v>
      </c>
      <c r="C51" s="52"/>
      <c r="D51" s="50"/>
      <c r="H51" s="17"/>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f t="shared" si="0"/>
        <v>0</v>
      </c>
    </row>
    <row r="52" spans="1:34">
      <c r="A52" t="s">
        <v>336</v>
      </c>
      <c r="B52" s="51" t="s">
        <v>605</v>
      </c>
      <c r="C52" s="53"/>
      <c r="D52" s="44"/>
      <c r="E52" s="36" t="s">
        <v>139</v>
      </c>
      <c r="F52" s="36" t="s">
        <v>13</v>
      </c>
      <c r="G52" s="36" t="str">
        <f>CONCATENATE(E52,F52)</f>
        <v>TECHManpower</v>
      </c>
      <c r="H52" s="63">
        <v>490600</v>
      </c>
      <c r="J52" s="28"/>
      <c r="K52" s="28"/>
      <c r="L52" s="28"/>
      <c r="M52" s="28"/>
      <c r="N52" s="28"/>
      <c r="O52" s="28"/>
      <c r="P52" s="28"/>
      <c r="Q52" s="28"/>
      <c r="R52" s="28"/>
      <c r="S52" s="28"/>
      <c r="T52" s="28"/>
      <c r="U52" s="28"/>
      <c r="V52" s="28"/>
      <c r="W52" s="28"/>
      <c r="X52" s="28"/>
      <c r="Y52" s="33"/>
      <c r="Z52" s="28"/>
      <c r="AA52" s="28"/>
      <c r="AB52" s="28"/>
      <c r="AC52" s="28"/>
      <c r="AD52" s="28"/>
      <c r="AE52" s="28"/>
      <c r="AF52" s="28"/>
      <c r="AG52" s="28"/>
      <c r="AH52">
        <f t="shared" si="0"/>
        <v>0</v>
      </c>
    </row>
    <row r="53" spans="1:34">
      <c r="A53" t="s">
        <v>606</v>
      </c>
      <c r="B53" s="51" t="s">
        <v>607</v>
      </c>
      <c r="C53" s="53"/>
      <c r="D53" s="44"/>
      <c r="E53" s="36" t="s">
        <v>139</v>
      </c>
      <c r="F53" s="36" t="s">
        <v>117</v>
      </c>
      <c r="G53" s="36" t="str">
        <f>CONCATENATE(E53,F53)</f>
        <v>TECHProcurement</v>
      </c>
      <c r="H53" s="63">
        <v>490600</v>
      </c>
      <c r="J53" s="28"/>
      <c r="K53" s="28"/>
      <c r="L53" s="28"/>
      <c r="M53" s="28"/>
      <c r="N53" s="28"/>
      <c r="O53" s="28"/>
      <c r="P53" s="28"/>
      <c r="Q53" s="28"/>
      <c r="R53" s="28"/>
      <c r="S53" s="28"/>
      <c r="T53" s="28"/>
      <c r="U53" s="28"/>
      <c r="V53" s="28"/>
      <c r="W53" s="28"/>
      <c r="X53" s="28"/>
      <c r="Y53" s="33"/>
      <c r="Z53" s="28"/>
      <c r="AA53" s="28"/>
      <c r="AB53" s="28"/>
      <c r="AC53" s="28"/>
      <c r="AD53" s="28"/>
      <c r="AE53" s="28"/>
      <c r="AF53" s="28"/>
      <c r="AG53" s="28"/>
      <c r="AH53">
        <f t="shared" si="0"/>
        <v>0</v>
      </c>
    </row>
    <row r="54" spans="1:34" s="16" customFormat="1">
      <c r="B54" s="45"/>
      <c r="C54" s="55"/>
      <c r="D54" s="56" t="s">
        <v>562</v>
      </c>
      <c r="E54" s="57"/>
      <c r="F54" s="57"/>
      <c r="G54" s="57"/>
      <c r="H54" s="63"/>
      <c r="J54" s="29"/>
      <c r="K54" s="29"/>
      <c r="L54" s="29"/>
      <c r="M54" s="29"/>
      <c r="N54" s="29"/>
      <c r="O54" s="29"/>
      <c r="P54" s="29"/>
      <c r="Q54" s="29"/>
      <c r="R54" s="29"/>
      <c r="S54" s="29"/>
      <c r="T54" s="29"/>
      <c r="U54" s="29"/>
      <c r="V54" s="29"/>
      <c r="W54" s="29"/>
      <c r="X54" s="29"/>
      <c r="Y54" s="58"/>
      <c r="Z54" s="29"/>
      <c r="AA54" s="29"/>
      <c r="AB54" s="29"/>
      <c r="AC54" s="29"/>
      <c r="AD54" s="29"/>
      <c r="AE54" s="29"/>
      <c r="AF54" s="29"/>
      <c r="AG54" s="29"/>
      <c r="AH54">
        <f t="shared" si="0"/>
        <v>0</v>
      </c>
    </row>
    <row r="55" spans="1:34">
      <c r="B55" s="48" t="s">
        <v>642</v>
      </c>
      <c r="C55" s="52"/>
      <c r="D55" s="50"/>
      <c r="H55" s="17"/>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f t="shared" si="0"/>
        <v>0</v>
      </c>
    </row>
    <row r="56" spans="1:34">
      <c r="A56" t="s">
        <v>331</v>
      </c>
      <c r="B56" s="51" t="s">
        <v>609</v>
      </c>
      <c r="C56" s="53"/>
      <c r="D56" s="44"/>
      <c r="E56" s="37" t="s">
        <v>14</v>
      </c>
      <c r="F56" s="36" t="s">
        <v>117</v>
      </c>
      <c r="G56" s="36" t="str">
        <f>CONCATENATE(E56,F56)</f>
        <v>MISSIONProcurement</v>
      </c>
      <c r="H56" s="16">
        <v>490540</v>
      </c>
      <c r="J56" s="28"/>
      <c r="K56" s="28"/>
      <c r="L56" s="28"/>
      <c r="M56" s="28"/>
      <c r="N56" s="28"/>
      <c r="O56" s="28"/>
      <c r="P56" s="28"/>
      <c r="Q56" s="28"/>
      <c r="R56" s="28"/>
      <c r="S56" s="28"/>
      <c r="T56" s="28"/>
      <c r="U56" s="28"/>
      <c r="V56" s="28"/>
      <c r="W56" s="28"/>
      <c r="X56" s="28"/>
      <c r="Y56" s="29"/>
      <c r="Z56" s="28"/>
      <c r="AA56" s="28"/>
      <c r="AB56" s="28"/>
      <c r="AC56" s="28"/>
      <c r="AD56" s="28"/>
      <c r="AE56" s="28"/>
      <c r="AF56" s="28"/>
      <c r="AG56" s="28"/>
      <c r="AH56">
        <f t="shared" si="0"/>
        <v>0</v>
      </c>
    </row>
    <row r="57" spans="1:34" s="16" customFormat="1">
      <c r="B57" s="45"/>
      <c r="C57" s="55"/>
      <c r="D57" s="56" t="s">
        <v>562</v>
      </c>
      <c r="E57" s="57"/>
      <c r="F57" s="57"/>
      <c r="G57" s="57"/>
      <c r="H57" s="17"/>
      <c r="J57" s="29"/>
      <c r="K57" s="29"/>
      <c r="L57" s="29"/>
      <c r="M57" s="29"/>
      <c r="N57" s="29"/>
      <c r="O57" s="29"/>
      <c r="P57" s="29"/>
      <c r="Q57" s="29"/>
      <c r="R57" s="29"/>
      <c r="S57" s="29"/>
      <c r="T57" s="29"/>
      <c r="U57" s="29"/>
      <c r="V57" s="29"/>
      <c r="W57" s="29"/>
      <c r="X57" s="29"/>
      <c r="Y57" s="58"/>
      <c r="Z57" s="29"/>
      <c r="AA57" s="29"/>
      <c r="AB57" s="29"/>
      <c r="AC57" s="29"/>
      <c r="AD57" s="29"/>
      <c r="AE57" s="29"/>
      <c r="AF57" s="29"/>
      <c r="AG57" s="29"/>
      <c r="AH57">
        <f t="shared" si="0"/>
        <v>0</v>
      </c>
    </row>
    <row r="58" spans="1:34">
      <c r="B58" s="46" t="s">
        <v>611</v>
      </c>
      <c r="C58" s="47"/>
      <c r="D58" s="41"/>
      <c r="H5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f t="shared" si="0"/>
        <v>0</v>
      </c>
    </row>
    <row r="59" spans="1:34">
      <c r="B59" s="48" t="s">
        <v>612</v>
      </c>
      <c r="C59" s="49"/>
      <c r="D59" s="50"/>
      <c r="H59"/>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f t="shared" si="0"/>
        <v>0</v>
      </c>
    </row>
    <row r="60" spans="1:34">
      <c r="A60" t="s">
        <v>230</v>
      </c>
      <c r="B60" s="51" t="s">
        <v>613</v>
      </c>
      <c r="C60" s="54"/>
      <c r="D60" s="44"/>
      <c r="E60" s="36" t="s">
        <v>139</v>
      </c>
      <c r="F60" s="36" t="s">
        <v>13</v>
      </c>
      <c r="G60" s="36" t="str">
        <f>CONCATENATE(E60,F60)</f>
        <v>TECHManpower</v>
      </c>
      <c r="H60" t="s">
        <v>614</v>
      </c>
      <c r="J60" s="33"/>
      <c r="K60" s="33"/>
      <c r="L60" s="33"/>
      <c r="M60" s="33"/>
      <c r="N60" s="33"/>
      <c r="O60" s="33"/>
      <c r="P60" s="34"/>
      <c r="Q60" s="28"/>
      <c r="R60" s="28"/>
      <c r="S60" s="28"/>
      <c r="T60" s="28"/>
      <c r="U60" s="28"/>
      <c r="V60" s="28"/>
      <c r="W60" s="28"/>
      <c r="X60" s="28"/>
      <c r="Y60" s="28"/>
      <c r="Z60" s="33"/>
      <c r="AA60" s="33"/>
      <c r="AB60" s="33"/>
      <c r="AC60" s="33"/>
      <c r="AD60" s="33"/>
      <c r="AE60" s="33"/>
      <c r="AF60" s="33"/>
      <c r="AG60" s="33"/>
      <c r="AH60">
        <f t="shared" si="0"/>
        <v>0</v>
      </c>
    </row>
    <row r="61" spans="1:34">
      <c r="A61" t="s">
        <v>138</v>
      </c>
      <c r="B61" s="51" t="s">
        <v>615</v>
      </c>
      <c r="C61" s="54"/>
      <c r="D61" s="44"/>
      <c r="E61" s="36" t="s">
        <v>139</v>
      </c>
      <c r="F61" s="36" t="s">
        <v>117</v>
      </c>
      <c r="G61" s="36" t="str">
        <f>CONCATENATE(E61,F61)</f>
        <v>TECHProcurement</v>
      </c>
      <c r="H61" t="s">
        <v>616</v>
      </c>
      <c r="I61" s="65" t="s">
        <v>610</v>
      </c>
      <c r="J61" s="33"/>
      <c r="K61" s="33"/>
      <c r="L61" s="33"/>
      <c r="M61" s="33"/>
      <c r="N61" s="33"/>
      <c r="O61" s="33"/>
      <c r="P61" s="33"/>
      <c r="Q61" s="28"/>
      <c r="R61" s="28"/>
      <c r="S61" s="28"/>
      <c r="T61" s="28"/>
      <c r="U61" s="28"/>
      <c r="V61" s="28"/>
      <c r="W61" s="28"/>
      <c r="X61" s="28"/>
      <c r="Y61" s="28"/>
      <c r="Z61" s="33"/>
      <c r="AA61" s="33"/>
      <c r="AB61" s="33"/>
      <c r="AC61" s="33"/>
      <c r="AD61" s="33"/>
      <c r="AE61" s="33"/>
      <c r="AF61" s="33"/>
      <c r="AG61" s="33"/>
      <c r="AH61">
        <f t="shared" si="0"/>
        <v>0</v>
      </c>
    </row>
    <row r="62" spans="1:34" s="16" customFormat="1">
      <c r="B62" s="45"/>
      <c r="C62" s="55"/>
      <c r="D62" s="56" t="s">
        <v>562</v>
      </c>
      <c r="E62" s="57"/>
      <c r="F62" s="57"/>
      <c r="G62" s="57"/>
      <c r="H62" s="17"/>
      <c r="J62" s="29"/>
      <c r="K62" s="29"/>
      <c r="L62" s="29"/>
      <c r="M62" s="29"/>
      <c r="N62" s="29"/>
      <c r="O62" s="29"/>
      <c r="P62" s="29"/>
      <c r="Q62" s="29"/>
      <c r="R62" s="29"/>
      <c r="S62" s="29"/>
      <c r="T62" s="29"/>
      <c r="U62" s="29"/>
      <c r="V62" s="29"/>
      <c r="W62" s="29"/>
      <c r="X62" s="29"/>
      <c r="Y62" s="58"/>
      <c r="Z62" s="29"/>
      <c r="AA62" s="29"/>
      <c r="AB62" s="29"/>
      <c r="AC62" s="29"/>
      <c r="AD62" s="29"/>
      <c r="AE62" s="29"/>
      <c r="AF62" s="29"/>
      <c r="AG62" s="29"/>
      <c r="AH62">
        <f t="shared" si="0"/>
        <v>0</v>
      </c>
    </row>
    <row r="63" spans="1:34">
      <c r="B63" s="48" t="s">
        <v>617</v>
      </c>
      <c r="C63" s="49"/>
      <c r="D63" s="50"/>
      <c r="H63"/>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f t="shared" si="0"/>
        <v>0</v>
      </c>
    </row>
    <row r="64" spans="1:34">
      <c r="A64" t="s">
        <v>293</v>
      </c>
      <c r="B64" s="51" t="s">
        <v>618</v>
      </c>
      <c r="C64" s="54"/>
      <c r="D64" s="44"/>
      <c r="E64" s="37" t="s">
        <v>139</v>
      </c>
      <c r="F64" s="36" t="s">
        <v>13</v>
      </c>
      <c r="G64" s="36" t="str">
        <f>CONCATENATE(E64,F64)</f>
        <v>TECHManpower</v>
      </c>
      <c r="H64" s="61">
        <v>480000</v>
      </c>
      <c r="I64" t="s">
        <v>922</v>
      </c>
      <c r="J64" s="119">
        <f>SUMIF(RUAG!$A:$A,'Price Table 8 RUAG'!$A64,RUAG!Z:Z)</f>
        <v>60.128695652173917</v>
      </c>
      <c r="K64" s="119">
        <f>SUMIF(RUAG!$A:$A,'Price Table 8 RUAG'!$A64,RUAG!AA:AA)</f>
        <v>60.128695652173917</v>
      </c>
      <c r="L64" s="119">
        <f>SUMIF(RUAG!$A:$A,'Price Table 8 RUAG'!$A64,RUAG!AB:AB)</f>
        <v>43.00434782608697</v>
      </c>
      <c r="M64" s="119">
        <f>SUMIF(RUAG!$A:$A,'Price Table 8 RUAG'!$A64,RUAG!AC:AC)</f>
        <v>43.00434782608697</v>
      </c>
      <c r="N64" s="119">
        <f>SUMIF(RUAG!$A:$A,'Price Table 8 RUAG'!$A64,RUAG!AD:AD)</f>
        <v>43.00434782608697</v>
      </c>
      <c r="O64" s="119">
        <f>SUMIF(RUAG!$A:$A,'Price Table 8 RUAG'!$A64,RUAG!AE:AE)</f>
        <v>43.00434782608697</v>
      </c>
      <c r="P64" s="119">
        <f>SUMIF(RUAG!$A:$A,'Price Table 8 RUAG'!$A64,RUAG!AF:AF)</f>
        <v>0</v>
      </c>
      <c r="Q64" s="119">
        <f>SUMIF(RUAG!$A:$A,'Price Table 8 RUAG'!$A64,RUAG!AG:AG)</f>
        <v>0</v>
      </c>
      <c r="R64" s="119">
        <f>SUMIF(RUAG!$A:$A,'Price Table 8 RUAG'!$A64,RUAG!AH:AH)</f>
        <v>0</v>
      </c>
      <c r="S64" s="119">
        <f>SUMIF(RUAG!$A:$A,'Price Table 8 RUAG'!$A64,RUAG!AI:AI)</f>
        <v>0</v>
      </c>
      <c r="T64" s="119">
        <f>SUMIF(RUAG!$A:$A,'Price Table 8 RUAG'!$A64,RUAG!AJ:AJ)</f>
        <v>0</v>
      </c>
      <c r="U64" s="119">
        <f>SUMIF(RUAG!$A:$A,'Price Table 8 RUAG'!$A64,RUAG!AK:AK)</f>
        <v>0</v>
      </c>
      <c r="V64" s="28"/>
      <c r="W64" s="28"/>
      <c r="X64" s="28"/>
      <c r="Y64" s="32"/>
      <c r="Z64" s="28"/>
      <c r="AA64" s="28"/>
      <c r="AB64" s="28"/>
      <c r="AC64" s="28"/>
      <c r="AD64" s="28"/>
      <c r="AE64" s="28"/>
      <c r="AF64" s="28"/>
      <c r="AG64" s="28"/>
      <c r="AH64">
        <f t="shared" si="0"/>
        <v>292.27478260869577</v>
      </c>
    </row>
    <row r="65" spans="1:34">
      <c r="A65" t="s">
        <v>620</v>
      </c>
      <c r="B65" s="51" t="s">
        <v>621</v>
      </c>
      <c r="C65" s="54"/>
      <c r="D65" s="44"/>
      <c r="E65" s="36" t="s">
        <v>139</v>
      </c>
      <c r="F65" s="36" t="s">
        <v>117</v>
      </c>
      <c r="G65" s="36" t="str">
        <f>CONCATENATE(E65,F65)</f>
        <v>TECHProcurement</v>
      </c>
      <c r="H65" s="61">
        <v>480000</v>
      </c>
      <c r="J65" s="119">
        <f>SUMIF(RUAG!$A:$A,'Price Table 8 RUAG'!$A65,RUAG!Z:Z)</f>
        <v>0</v>
      </c>
      <c r="K65" s="119">
        <f>SUMIF(RUAG!$A:$A,'Price Table 8 RUAG'!$A65,RUAG!AA:AA)</f>
        <v>0</v>
      </c>
      <c r="L65" s="119">
        <f>SUMIF(RUAG!$A:$A,'Price Table 8 RUAG'!$A65,RUAG!AB:AB)</f>
        <v>0</v>
      </c>
      <c r="M65" s="119">
        <f>SUMIF(RUAG!$A:$A,'Price Table 8 RUAG'!$A65,RUAG!AC:AC)</f>
        <v>0</v>
      </c>
      <c r="N65" s="119">
        <f>SUMIF(RUAG!$A:$A,'Price Table 8 RUAG'!$A65,RUAG!AD:AD)</f>
        <v>0</v>
      </c>
      <c r="O65" s="119">
        <f>SUMIF(RUAG!$A:$A,'Price Table 8 RUAG'!$A65,RUAG!AE:AE)</f>
        <v>0</v>
      </c>
      <c r="P65" s="119">
        <f>SUMIF(RUAG!$A:$A,'Price Table 8 RUAG'!$A65,RUAG!AF:AF)</f>
        <v>0</v>
      </c>
      <c r="Q65" s="119">
        <f>SUMIF(RUAG!$A:$A,'Price Table 8 RUAG'!$A65,RUAG!AG:AG)</f>
        <v>0</v>
      </c>
      <c r="R65" s="119">
        <f>SUMIF(RUAG!$A:$A,'Price Table 8 RUAG'!$A65,RUAG!AH:AH)</f>
        <v>0</v>
      </c>
      <c r="S65" s="119">
        <f>SUMIF(RUAG!$A:$A,'Price Table 8 RUAG'!$A65,RUAG!AI:AI)</f>
        <v>0</v>
      </c>
      <c r="T65" s="119">
        <f>SUMIF(RUAG!$A:$A,'Price Table 8 RUAG'!$A65,RUAG!AJ:AJ)</f>
        <v>0</v>
      </c>
      <c r="U65" s="119">
        <f>SUMIF(RUAG!$A:$A,'Price Table 8 RUAG'!$A65,RUAG!AK:AK)</f>
        <v>0</v>
      </c>
      <c r="V65" s="28"/>
      <c r="W65" s="28"/>
      <c r="X65" s="28"/>
      <c r="Y65" s="32"/>
      <c r="Z65" s="28"/>
      <c r="AA65" s="28"/>
      <c r="AB65" s="28"/>
      <c r="AC65" s="28"/>
      <c r="AD65" s="28"/>
      <c r="AE65" s="28"/>
      <c r="AF65" s="28"/>
      <c r="AG65" s="28"/>
      <c r="AH65">
        <f t="shared" si="0"/>
        <v>0</v>
      </c>
    </row>
    <row r="66" spans="1:34" s="16" customFormat="1">
      <c r="B66" s="45"/>
      <c r="C66" s="55"/>
      <c r="D66" s="56" t="s">
        <v>562</v>
      </c>
      <c r="E66" s="57"/>
      <c r="F66" s="57"/>
      <c r="G66" s="57"/>
      <c r="H66" s="17"/>
      <c r="J66" s="29"/>
      <c r="K66" s="29"/>
      <c r="L66" s="29"/>
      <c r="M66" s="29"/>
      <c r="N66" s="29"/>
      <c r="O66" s="29"/>
      <c r="P66" s="29"/>
      <c r="Q66" s="29"/>
      <c r="R66" s="29"/>
      <c r="S66" s="29"/>
      <c r="T66" s="29"/>
      <c r="U66" s="29"/>
      <c r="V66" s="29"/>
      <c r="W66" s="29"/>
      <c r="X66" s="29"/>
      <c r="Y66" s="58"/>
      <c r="Z66" s="29"/>
      <c r="AA66" s="29"/>
      <c r="AB66" s="29"/>
      <c r="AC66" s="29"/>
      <c r="AD66" s="29"/>
      <c r="AE66" s="29"/>
      <c r="AF66" s="29"/>
      <c r="AG66" s="29"/>
      <c r="AH66">
        <f t="shared" si="0"/>
        <v>0</v>
      </c>
    </row>
    <row r="67" spans="1:34">
      <c r="A67" t="s">
        <v>377</v>
      </c>
      <c r="B67" s="48" t="s">
        <v>622</v>
      </c>
      <c r="C67" s="49"/>
      <c r="D67" s="50"/>
      <c r="E67" s="36" t="s">
        <v>139</v>
      </c>
      <c r="F67" s="36" t="s">
        <v>117</v>
      </c>
      <c r="G67" s="36" t="str">
        <f>CONCATENATE(E67,F67)</f>
        <v>TECHProcurement</v>
      </c>
      <c r="H67" s="16">
        <v>540000</v>
      </c>
      <c r="J67" s="28"/>
      <c r="K67" s="28"/>
      <c r="L67" s="28"/>
      <c r="M67" s="28"/>
      <c r="N67" s="28"/>
      <c r="O67" s="28"/>
      <c r="P67" s="28"/>
      <c r="Q67" s="28"/>
      <c r="R67" s="28"/>
      <c r="S67" s="28"/>
      <c r="T67" s="28"/>
      <c r="U67" s="28"/>
      <c r="V67" s="28"/>
      <c r="W67" s="28"/>
      <c r="X67" s="28"/>
      <c r="Y67" s="29"/>
      <c r="Z67" s="28"/>
      <c r="AA67" s="28"/>
      <c r="AB67" s="28"/>
      <c r="AC67" s="28"/>
      <c r="AD67" s="28"/>
      <c r="AE67" s="28"/>
      <c r="AF67" s="28"/>
      <c r="AG67" s="28"/>
      <c r="AH67">
        <f t="shared" si="0"/>
        <v>0</v>
      </c>
    </row>
    <row r="68" spans="1:34">
      <c r="B68" s="20" t="s">
        <v>623</v>
      </c>
      <c r="C68" s="21"/>
      <c r="D68" s="22"/>
      <c r="H6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f t="shared" si="0"/>
        <v>0</v>
      </c>
    </row>
    <row r="69" spans="1:34" ht="21.95" customHeight="1">
      <c r="B69" s="23"/>
      <c r="C69" s="5"/>
      <c r="D69" s="5"/>
      <c r="E69"/>
      <c r="F69"/>
      <c r="G69"/>
      <c r="H69"/>
      <c r="U69" s="67"/>
      <c r="AH69">
        <f t="shared" si="0"/>
        <v>0</v>
      </c>
    </row>
    <row r="70" spans="1:34" ht="21.95" customHeight="1">
      <c r="A70" t="s">
        <v>9</v>
      </c>
      <c r="B70" s="12" t="s">
        <v>624</v>
      </c>
      <c r="C70" s="13"/>
      <c r="D70" s="14"/>
      <c r="E70" s="37" t="s">
        <v>14</v>
      </c>
      <c r="F70" s="36" t="s">
        <v>117</v>
      </c>
      <c r="G70" s="36" t="str">
        <f>CONCATENATE(E70,F70)</f>
        <v>MISSIONProcurement</v>
      </c>
      <c r="H70" s="16">
        <v>320000</v>
      </c>
      <c r="AH70">
        <f t="shared" si="0"/>
        <v>0</v>
      </c>
    </row>
    <row r="71" spans="1:34" ht="21.95" customHeight="1">
      <c r="B71" s="5"/>
      <c r="C71" s="5"/>
      <c r="D71" s="5"/>
      <c r="E71"/>
      <c r="F71"/>
      <c r="G71"/>
      <c r="H71"/>
      <c r="AH71">
        <f t="shared" si="0"/>
        <v>0</v>
      </c>
    </row>
    <row r="72" spans="1:34">
      <c r="B72" s="23"/>
      <c r="C72" s="5"/>
      <c r="D72" s="5"/>
      <c r="H72"/>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f t="shared" si="0"/>
        <v>0</v>
      </c>
    </row>
    <row r="73" spans="1:34">
      <c r="B73" s="12" t="s">
        <v>625</v>
      </c>
      <c r="C73" s="13"/>
      <c r="D73" s="14"/>
      <c r="H73"/>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f t="shared" si="0"/>
        <v>0</v>
      </c>
    </row>
    <row r="74" spans="1:34">
      <c r="A74" t="s">
        <v>389</v>
      </c>
      <c r="B74" s="321" t="s">
        <v>626</v>
      </c>
      <c r="C74" s="19"/>
      <c r="D74" s="315"/>
      <c r="E74" s="37" t="s">
        <v>14</v>
      </c>
      <c r="F74" s="36" t="s">
        <v>13</v>
      </c>
      <c r="G74" s="36" t="str">
        <f>CONCATENATE(E74,F74)</f>
        <v>MISSIONManpower</v>
      </c>
      <c r="H74" s="64" t="s">
        <v>627</v>
      </c>
      <c r="J74" s="28"/>
      <c r="K74" s="28"/>
      <c r="L74" s="28"/>
      <c r="M74" s="28"/>
      <c r="N74" s="28"/>
      <c r="O74" s="28"/>
      <c r="P74" s="28"/>
      <c r="Q74" s="28"/>
      <c r="R74" s="28"/>
      <c r="S74" s="28"/>
      <c r="T74" s="28"/>
      <c r="U74" s="28"/>
      <c r="V74" s="28"/>
      <c r="W74" s="28"/>
      <c r="X74" s="28"/>
      <c r="Y74" s="35"/>
      <c r="Z74" s="28"/>
      <c r="AA74" s="28"/>
      <c r="AB74" s="28"/>
      <c r="AC74" s="28"/>
      <c r="AD74" s="28"/>
      <c r="AE74" s="28"/>
      <c r="AF74" s="28"/>
      <c r="AG74" s="28"/>
      <c r="AH74">
        <f t="shared" si="0"/>
        <v>0</v>
      </c>
    </row>
    <row r="75" spans="1:34">
      <c r="A75" t="s">
        <v>434</v>
      </c>
      <c r="B75" s="603" t="s">
        <v>432</v>
      </c>
      <c r="C75" s="5"/>
      <c r="D75" s="316"/>
      <c r="E75" s="37" t="s">
        <v>14</v>
      </c>
      <c r="F75" s="36" t="s">
        <v>13</v>
      </c>
      <c r="G75" s="36" t="str">
        <f>CONCATENATE(E75,F75)</f>
        <v>MISSIONManpower</v>
      </c>
      <c r="H75" s="60" t="s">
        <v>628</v>
      </c>
      <c r="J75" s="29"/>
      <c r="K75" s="28"/>
      <c r="L75" s="28"/>
      <c r="M75" s="28"/>
      <c r="N75" s="28"/>
      <c r="O75" s="28"/>
      <c r="P75" s="28"/>
      <c r="Q75" s="28"/>
      <c r="R75" s="28"/>
      <c r="S75" s="28"/>
      <c r="T75" s="28"/>
      <c r="U75" s="28"/>
      <c r="V75" s="28"/>
      <c r="W75" s="28"/>
      <c r="X75" s="28"/>
      <c r="Y75" s="30"/>
      <c r="Z75" s="29"/>
      <c r="AA75" s="28"/>
      <c r="AB75" s="28"/>
      <c r="AC75" s="28"/>
      <c r="AD75" s="28"/>
      <c r="AE75" s="28"/>
      <c r="AF75" s="28"/>
      <c r="AG75" s="28"/>
      <c r="AH75">
        <f t="shared" si="0"/>
        <v>0</v>
      </c>
    </row>
    <row r="76" spans="1:34">
      <c r="A76" t="s">
        <v>427</v>
      </c>
      <c r="B76" s="322" t="s">
        <v>629</v>
      </c>
      <c r="C76" s="5"/>
      <c r="D76" s="316"/>
      <c r="E76" s="36" t="s">
        <v>139</v>
      </c>
      <c r="F76" s="36" t="s">
        <v>13</v>
      </c>
      <c r="G76" s="36" t="str">
        <f>CONCATENATE(E76,F76)</f>
        <v>TECHManpower</v>
      </c>
      <c r="H76" s="16">
        <v>650000</v>
      </c>
      <c r="J76" s="28"/>
      <c r="K76" s="28"/>
      <c r="L76" s="28"/>
      <c r="M76" s="28"/>
      <c r="N76" s="28"/>
      <c r="O76" s="28"/>
      <c r="P76" s="28"/>
      <c r="Q76" s="28"/>
      <c r="R76" s="28"/>
      <c r="S76" s="28"/>
      <c r="T76" s="28"/>
      <c r="U76" s="28"/>
      <c r="V76" s="28"/>
      <c r="W76" s="28"/>
      <c r="X76" s="28"/>
      <c r="Y76" s="29"/>
      <c r="Z76" s="28"/>
      <c r="AA76" s="28"/>
      <c r="AB76" s="28"/>
      <c r="AC76" s="28"/>
      <c r="AD76" s="28"/>
      <c r="AE76" s="28"/>
      <c r="AF76" s="28"/>
      <c r="AG76" s="28"/>
      <c r="AH76">
        <f t="shared" si="0"/>
        <v>0</v>
      </c>
    </row>
    <row r="77" spans="1:34">
      <c r="A77" t="s">
        <v>396</v>
      </c>
      <c r="B77" s="322" t="s">
        <v>630</v>
      </c>
      <c r="C77" s="5"/>
      <c r="D77" s="316"/>
      <c r="E77" s="37" t="s">
        <v>14</v>
      </c>
      <c r="F77" s="37" t="s">
        <v>117</v>
      </c>
      <c r="G77" s="36" t="str">
        <f>CONCATENATE(E77,F77)</f>
        <v>MISSIONProcurement</v>
      </c>
      <c r="H77">
        <v>620100</v>
      </c>
      <c r="I77" s="1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f t="shared" si="0"/>
        <v>0</v>
      </c>
    </row>
    <row r="78" spans="1:34" ht="15.75" thickBot="1">
      <c r="A78" t="s">
        <v>631</v>
      </c>
      <c r="B78" s="602" t="s">
        <v>632</v>
      </c>
      <c r="C78" s="318"/>
      <c r="D78" s="319"/>
      <c r="E78" s="37" t="s">
        <v>14</v>
      </c>
      <c r="F78" s="36" t="s">
        <v>117</v>
      </c>
      <c r="G78" s="36" t="str">
        <f>CONCATENATE(E78,F78)</f>
        <v>MISSIONProcurement</v>
      </c>
      <c r="H78" t="s">
        <v>643</v>
      </c>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f t="shared" si="0"/>
        <v>0</v>
      </c>
    </row>
    <row r="79" spans="1:34">
      <c r="A79" t="s">
        <v>633</v>
      </c>
      <c r="B79" s="25" t="s">
        <v>465</v>
      </c>
      <c r="C79" s="26"/>
      <c r="D79" s="27"/>
      <c r="E79" s="59"/>
      <c r="F79" s="59"/>
      <c r="G79" s="59"/>
      <c r="H79"/>
      <c r="J79" s="119">
        <f>J81*0.2</f>
        <v>20.568921739130438</v>
      </c>
      <c r="K79" s="119">
        <f t="shared" ref="K79:U79" si="1">K81*0.2</f>
        <v>20.568921739130438</v>
      </c>
      <c r="L79" s="119">
        <f t="shared" si="1"/>
        <v>12.707465217391309</v>
      </c>
      <c r="M79" s="119">
        <f t="shared" si="1"/>
        <v>12.707465217391309</v>
      </c>
      <c r="N79" s="119">
        <f t="shared" si="1"/>
        <v>12.707465217391309</v>
      </c>
      <c r="O79" s="119">
        <f t="shared" si="1"/>
        <v>12.707465217391309</v>
      </c>
      <c r="P79" s="119">
        <f t="shared" si="1"/>
        <v>4.1065956521739144</v>
      </c>
      <c r="Q79" s="119">
        <f t="shared" si="1"/>
        <v>4.1065956521739144</v>
      </c>
      <c r="R79" s="119">
        <f t="shared" si="1"/>
        <v>4.1065956521739144</v>
      </c>
      <c r="S79" s="119">
        <f t="shared" si="1"/>
        <v>4.1065956521739144</v>
      </c>
      <c r="T79" s="119">
        <f t="shared" si="1"/>
        <v>0</v>
      </c>
      <c r="U79" s="119">
        <f t="shared" si="1"/>
        <v>0</v>
      </c>
      <c r="V79" s="28"/>
      <c r="W79" s="28"/>
      <c r="X79" s="28"/>
      <c r="Y79" s="28"/>
      <c r="Z79" s="28"/>
      <c r="AA79" s="28"/>
      <c r="AB79" s="28"/>
      <c r="AC79" s="28"/>
      <c r="AD79" s="28"/>
      <c r="AE79" s="28"/>
      <c r="AF79" s="28"/>
      <c r="AG79" s="28"/>
      <c r="AH79">
        <f t="shared" ref="AH79" si="2">SUM(J79:AG79)</f>
        <v>108.39408695652173</v>
      </c>
    </row>
    <row r="81" spans="2:35">
      <c r="B81" s="23" t="s">
        <v>634</v>
      </c>
      <c r="J81">
        <f>SUM(J14:J78)</f>
        <v>102.84460869565218</v>
      </c>
      <c r="K81">
        <f t="shared" ref="K81:AI81" si="3">SUM(K14:K78)</f>
        <v>102.84460869565218</v>
      </c>
      <c r="L81">
        <f t="shared" si="3"/>
        <v>63.53732608695654</v>
      </c>
      <c r="M81">
        <f t="shared" si="3"/>
        <v>63.53732608695654</v>
      </c>
      <c r="N81">
        <f t="shared" si="3"/>
        <v>63.53732608695654</v>
      </c>
      <c r="O81">
        <f t="shared" si="3"/>
        <v>63.53732608695654</v>
      </c>
      <c r="P81">
        <f t="shared" si="3"/>
        <v>20.532978260869569</v>
      </c>
      <c r="Q81">
        <f t="shared" si="3"/>
        <v>20.532978260869569</v>
      </c>
      <c r="R81">
        <f t="shared" si="3"/>
        <v>20.532978260869569</v>
      </c>
      <c r="S81">
        <f t="shared" si="3"/>
        <v>20.532978260869569</v>
      </c>
      <c r="T81">
        <f t="shared" si="3"/>
        <v>0</v>
      </c>
      <c r="U81">
        <f t="shared" si="3"/>
        <v>0</v>
      </c>
      <c r="V81">
        <f t="shared" si="3"/>
        <v>0</v>
      </c>
      <c r="W81">
        <f t="shared" si="3"/>
        <v>0</v>
      </c>
      <c r="X81">
        <f t="shared" si="3"/>
        <v>0</v>
      </c>
      <c r="Y81">
        <f t="shared" si="3"/>
        <v>0</v>
      </c>
      <c r="Z81">
        <f t="shared" si="3"/>
        <v>0</v>
      </c>
      <c r="AA81">
        <f t="shared" si="3"/>
        <v>0</v>
      </c>
      <c r="AB81">
        <f t="shared" si="3"/>
        <v>0</v>
      </c>
      <c r="AC81">
        <f t="shared" si="3"/>
        <v>0</v>
      </c>
      <c r="AD81">
        <f t="shared" si="3"/>
        <v>0</v>
      </c>
      <c r="AE81">
        <f t="shared" si="3"/>
        <v>0</v>
      </c>
      <c r="AF81">
        <f t="shared" si="3"/>
        <v>0</v>
      </c>
      <c r="AG81">
        <f t="shared" si="3"/>
        <v>0</v>
      </c>
      <c r="AH81">
        <f t="shared" si="3"/>
        <v>541.97043478260889</v>
      </c>
      <c r="AI81">
        <f t="shared" si="3"/>
        <v>0</v>
      </c>
    </row>
    <row r="82" spans="2:35">
      <c r="B82" s="23" t="s">
        <v>635</v>
      </c>
      <c r="J82">
        <f>SUM(J79:J81)</f>
        <v>123.41353043478261</v>
      </c>
      <c r="K82">
        <f t="shared" ref="K82:AG82" si="4">SUM(K79:K81)</f>
        <v>123.41353043478261</v>
      </c>
      <c r="L82">
        <f t="shared" si="4"/>
        <v>76.244791304347842</v>
      </c>
      <c r="M82">
        <f t="shared" si="4"/>
        <v>76.244791304347842</v>
      </c>
      <c r="N82">
        <f t="shared" si="4"/>
        <v>76.244791304347842</v>
      </c>
      <c r="O82">
        <f t="shared" si="4"/>
        <v>76.244791304347842</v>
      </c>
      <c r="P82">
        <f t="shared" si="4"/>
        <v>24.639573913043485</v>
      </c>
      <c r="Q82">
        <f t="shared" si="4"/>
        <v>24.639573913043485</v>
      </c>
      <c r="R82">
        <f t="shared" si="4"/>
        <v>24.639573913043485</v>
      </c>
      <c r="S82">
        <f t="shared" si="4"/>
        <v>24.639573913043485</v>
      </c>
      <c r="T82">
        <f t="shared" si="4"/>
        <v>0</v>
      </c>
      <c r="U82">
        <f t="shared" si="4"/>
        <v>0</v>
      </c>
      <c r="V82">
        <f t="shared" si="4"/>
        <v>0</v>
      </c>
      <c r="W82">
        <f t="shared" si="4"/>
        <v>0</v>
      </c>
      <c r="X82">
        <f t="shared" si="4"/>
        <v>0</v>
      </c>
      <c r="Y82">
        <f t="shared" si="4"/>
        <v>0</v>
      </c>
      <c r="Z82">
        <f t="shared" si="4"/>
        <v>0</v>
      </c>
      <c r="AA82">
        <f t="shared" si="4"/>
        <v>0</v>
      </c>
      <c r="AB82">
        <f t="shared" si="4"/>
        <v>0</v>
      </c>
      <c r="AC82">
        <f t="shared" si="4"/>
        <v>0</v>
      </c>
      <c r="AD82">
        <f t="shared" si="4"/>
        <v>0</v>
      </c>
      <c r="AE82">
        <f t="shared" si="4"/>
        <v>0</v>
      </c>
      <c r="AF82">
        <f t="shared" si="4"/>
        <v>0</v>
      </c>
      <c r="AG82">
        <f t="shared" si="4"/>
        <v>0</v>
      </c>
      <c r="AH82">
        <f t="shared" ref="AH82" si="5">SUM(J82:AG82)</f>
        <v>650.3645217391304</v>
      </c>
      <c r="AI82" s="16"/>
    </row>
    <row r="83" spans="2:35" ht="15.75" thickBot="1">
      <c r="AH83" s="124"/>
    </row>
    <row r="84" spans="2:35">
      <c r="E84" s="256" t="s">
        <v>12</v>
      </c>
      <c r="F84" s="257" t="s">
        <v>13</v>
      </c>
      <c r="G84" s="257" t="str">
        <f>CONCATENATE(E84,F84)</f>
        <v>MGTManpower</v>
      </c>
      <c r="H84" s="257"/>
      <c r="I84" s="274"/>
      <c r="J84" s="268">
        <f>SUMIF($G$14:$G$79,$G84,J$14:J$79)</f>
        <v>10.449826086956524</v>
      </c>
      <c r="K84" s="258">
        <f t="shared" ref="K84:AH88" si="6">SUMIF($G$14:$G$79,$G84,K$14:K$79)</f>
        <v>10.449826086956524</v>
      </c>
      <c r="L84" s="258">
        <f t="shared" si="6"/>
        <v>10.449826086956524</v>
      </c>
      <c r="M84" s="258">
        <f t="shared" si="6"/>
        <v>10.449826086956524</v>
      </c>
      <c r="N84" s="258">
        <f t="shared" si="6"/>
        <v>10.449826086956524</v>
      </c>
      <c r="O84" s="258">
        <f t="shared" si="6"/>
        <v>10.449826086956524</v>
      </c>
      <c r="P84" s="258">
        <f t="shared" si="6"/>
        <v>10.449826086956524</v>
      </c>
      <c r="Q84" s="258">
        <f t="shared" si="6"/>
        <v>10.449826086956524</v>
      </c>
      <c r="R84" s="258">
        <f t="shared" si="6"/>
        <v>10.449826086956524</v>
      </c>
      <c r="S84" s="258">
        <f t="shared" si="6"/>
        <v>10.449826086956524</v>
      </c>
      <c r="T84" s="258">
        <f t="shared" si="6"/>
        <v>0</v>
      </c>
      <c r="U84" s="258">
        <f t="shared" si="6"/>
        <v>0</v>
      </c>
      <c r="V84" s="258">
        <f t="shared" si="6"/>
        <v>0</v>
      </c>
      <c r="W84" s="258">
        <f t="shared" si="6"/>
        <v>0</v>
      </c>
      <c r="X84" s="258">
        <f t="shared" si="6"/>
        <v>0</v>
      </c>
      <c r="Y84" s="258">
        <f t="shared" si="6"/>
        <v>0</v>
      </c>
      <c r="Z84" s="258">
        <f t="shared" si="6"/>
        <v>0</v>
      </c>
      <c r="AA84" s="258">
        <f t="shared" si="6"/>
        <v>0</v>
      </c>
      <c r="AB84" s="258">
        <f t="shared" si="6"/>
        <v>0</v>
      </c>
      <c r="AC84" s="258">
        <f t="shared" si="6"/>
        <v>0</v>
      </c>
      <c r="AD84" s="258">
        <f t="shared" si="6"/>
        <v>0</v>
      </c>
      <c r="AE84" s="258">
        <f t="shared" si="6"/>
        <v>0</v>
      </c>
      <c r="AF84" s="258">
        <f t="shared" si="6"/>
        <v>0</v>
      </c>
      <c r="AG84" s="259">
        <f t="shared" si="6"/>
        <v>0</v>
      </c>
      <c r="AH84" s="271">
        <f t="shared" si="6"/>
        <v>104.49826086956521</v>
      </c>
    </row>
    <row r="85" spans="2:35">
      <c r="E85" s="260" t="s">
        <v>14</v>
      </c>
      <c r="F85" s="36" t="s">
        <v>13</v>
      </c>
      <c r="G85" s="36" t="str">
        <f>CONCATENATE(E85,F85)</f>
        <v>MISSIONManpower</v>
      </c>
      <c r="I85" s="275"/>
      <c r="J85" s="269">
        <f t="shared" ref="J85:Y88" si="7">SUMIF($G$14:$G$79,$G85,J$14:J$79)</f>
        <v>32.266086956521747</v>
      </c>
      <c r="K85" s="261">
        <f t="shared" si="7"/>
        <v>32.266086956521747</v>
      </c>
      <c r="L85" s="261">
        <f t="shared" si="7"/>
        <v>10.083152173913044</v>
      </c>
      <c r="M85" s="261">
        <f t="shared" si="7"/>
        <v>10.083152173913044</v>
      </c>
      <c r="N85" s="261">
        <f t="shared" si="7"/>
        <v>10.083152173913044</v>
      </c>
      <c r="O85" s="261">
        <f t="shared" si="7"/>
        <v>10.083152173913044</v>
      </c>
      <c r="P85" s="261">
        <f t="shared" si="7"/>
        <v>10.083152173913044</v>
      </c>
      <c r="Q85" s="261">
        <f t="shared" si="7"/>
        <v>10.083152173913044</v>
      </c>
      <c r="R85" s="261">
        <f t="shared" si="7"/>
        <v>10.083152173913044</v>
      </c>
      <c r="S85" s="261">
        <f t="shared" si="7"/>
        <v>10.083152173913044</v>
      </c>
      <c r="T85" s="261">
        <f t="shared" si="7"/>
        <v>0</v>
      </c>
      <c r="U85" s="261">
        <f t="shared" si="7"/>
        <v>0</v>
      </c>
      <c r="V85" s="261">
        <f t="shared" si="7"/>
        <v>0</v>
      </c>
      <c r="W85" s="261">
        <f t="shared" si="7"/>
        <v>0</v>
      </c>
      <c r="X85" s="261">
        <f t="shared" si="7"/>
        <v>0</v>
      </c>
      <c r="Y85" s="261">
        <f t="shared" si="7"/>
        <v>0</v>
      </c>
      <c r="Z85" s="261">
        <f t="shared" si="6"/>
        <v>0</v>
      </c>
      <c r="AA85" s="261">
        <f t="shared" si="6"/>
        <v>0</v>
      </c>
      <c r="AB85" s="261">
        <f t="shared" si="6"/>
        <v>0</v>
      </c>
      <c r="AC85" s="261">
        <f t="shared" si="6"/>
        <v>0</v>
      </c>
      <c r="AD85" s="261">
        <f t="shared" si="6"/>
        <v>0</v>
      </c>
      <c r="AE85" s="261">
        <f t="shared" si="6"/>
        <v>0</v>
      </c>
      <c r="AF85" s="261">
        <f t="shared" si="6"/>
        <v>0</v>
      </c>
      <c r="AG85" s="262">
        <f t="shared" si="6"/>
        <v>0</v>
      </c>
      <c r="AH85" s="272">
        <f t="shared" si="6"/>
        <v>145.19739130434783</v>
      </c>
    </row>
    <row r="86" spans="2:35" ht="15.75" thickBot="1">
      <c r="E86" s="263" t="s">
        <v>139</v>
      </c>
      <c r="F86" s="264" t="s">
        <v>13</v>
      </c>
      <c r="G86" s="264" t="str">
        <f>CONCATENATE(E86,F86)</f>
        <v>TECHManpower</v>
      </c>
      <c r="H86" s="264"/>
      <c r="I86" s="276"/>
      <c r="J86" s="270">
        <f t="shared" si="7"/>
        <v>60.128695652173917</v>
      </c>
      <c r="K86" s="266">
        <f t="shared" si="6"/>
        <v>60.128695652173917</v>
      </c>
      <c r="L86" s="266">
        <f t="shared" si="6"/>
        <v>43.00434782608697</v>
      </c>
      <c r="M86" s="266">
        <f t="shared" si="6"/>
        <v>43.00434782608697</v>
      </c>
      <c r="N86" s="266">
        <f t="shared" si="6"/>
        <v>43.00434782608697</v>
      </c>
      <c r="O86" s="266">
        <f t="shared" si="6"/>
        <v>43.00434782608697</v>
      </c>
      <c r="P86" s="266">
        <f t="shared" si="6"/>
        <v>0</v>
      </c>
      <c r="Q86" s="266">
        <f t="shared" si="6"/>
        <v>0</v>
      </c>
      <c r="R86" s="266">
        <f t="shared" si="6"/>
        <v>0</v>
      </c>
      <c r="S86" s="266">
        <f t="shared" si="6"/>
        <v>0</v>
      </c>
      <c r="T86" s="266">
        <f t="shared" si="6"/>
        <v>0</v>
      </c>
      <c r="U86" s="266">
        <f t="shared" si="6"/>
        <v>0</v>
      </c>
      <c r="V86" s="266">
        <f t="shared" si="6"/>
        <v>0</v>
      </c>
      <c r="W86" s="266">
        <f t="shared" si="6"/>
        <v>0</v>
      </c>
      <c r="X86" s="266">
        <f t="shared" si="6"/>
        <v>0</v>
      </c>
      <c r="Y86" s="266">
        <f t="shared" si="6"/>
        <v>0</v>
      </c>
      <c r="Z86" s="266">
        <f t="shared" si="6"/>
        <v>0</v>
      </c>
      <c r="AA86" s="266">
        <f t="shared" si="6"/>
        <v>0</v>
      </c>
      <c r="AB86" s="266">
        <f t="shared" si="6"/>
        <v>0</v>
      </c>
      <c r="AC86" s="266">
        <f t="shared" si="6"/>
        <v>0</v>
      </c>
      <c r="AD86" s="266">
        <f t="shared" si="6"/>
        <v>0</v>
      </c>
      <c r="AE86" s="266">
        <f t="shared" si="6"/>
        <v>0</v>
      </c>
      <c r="AF86" s="266">
        <f t="shared" si="6"/>
        <v>0</v>
      </c>
      <c r="AG86" s="267">
        <f t="shared" si="6"/>
        <v>0</v>
      </c>
      <c r="AH86" s="273">
        <f t="shared" si="6"/>
        <v>292.27478260869577</v>
      </c>
    </row>
    <row r="87" spans="2:35">
      <c r="E87" s="260" t="s">
        <v>14</v>
      </c>
      <c r="F87" s="37" t="s">
        <v>117</v>
      </c>
      <c r="G87" s="36" t="str">
        <f>CONCATENATE(E87,F87)</f>
        <v>MISSIONProcurement</v>
      </c>
      <c r="H87" s="37"/>
      <c r="J87" s="269">
        <f t="shared" si="7"/>
        <v>0</v>
      </c>
      <c r="K87" s="261">
        <f t="shared" si="6"/>
        <v>0</v>
      </c>
      <c r="L87" s="261">
        <f t="shared" si="6"/>
        <v>0</v>
      </c>
      <c r="M87" s="261">
        <f t="shared" si="6"/>
        <v>0</v>
      </c>
      <c r="N87" s="261">
        <f t="shared" si="6"/>
        <v>0</v>
      </c>
      <c r="O87" s="261">
        <f t="shared" si="6"/>
        <v>0</v>
      </c>
      <c r="P87" s="261">
        <f t="shared" si="6"/>
        <v>0</v>
      </c>
      <c r="Q87" s="261">
        <f t="shared" si="6"/>
        <v>0</v>
      </c>
      <c r="R87" s="261">
        <f t="shared" si="6"/>
        <v>0</v>
      </c>
      <c r="S87" s="261">
        <f t="shared" si="6"/>
        <v>0</v>
      </c>
      <c r="T87" s="261">
        <f t="shared" si="6"/>
        <v>0</v>
      </c>
      <c r="U87" s="261">
        <f t="shared" si="6"/>
        <v>0</v>
      </c>
      <c r="V87" s="261">
        <f t="shared" si="6"/>
        <v>0</v>
      </c>
      <c r="W87" s="261">
        <f t="shared" si="6"/>
        <v>0</v>
      </c>
      <c r="X87" s="261">
        <f t="shared" si="6"/>
        <v>0</v>
      </c>
      <c r="Y87" s="261">
        <f t="shared" si="6"/>
        <v>0</v>
      </c>
      <c r="Z87" s="261">
        <f t="shared" si="6"/>
        <v>0</v>
      </c>
      <c r="AA87" s="261">
        <f t="shared" si="6"/>
        <v>0</v>
      </c>
      <c r="AB87" s="261">
        <f t="shared" si="6"/>
        <v>0</v>
      </c>
      <c r="AC87" s="261">
        <f t="shared" si="6"/>
        <v>0</v>
      </c>
      <c r="AD87" s="261">
        <f t="shared" si="6"/>
        <v>0</v>
      </c>
      <c r="AE87" s="261">
        <f t="shared" si="6"/>
        <v>0</v>
      </c>
      <c r="AF87" s="261">
        <f t="shared" si="6"/>
        <v>0</v>
      </c>
      <c r="AG87" s="262">
        <f t="shared" si="6"/>
        <v>0</v>
      </c>
      <c r="AH87" s="262">
        <f t="shared" si="6"/>
        <v>0</v>
      </c>
    </row>
    <row r="88" spans="2:35" ht="15.75" thickBot="1">
      <c r="E88" s="263" t="s">
        <v>139</v>
      </c>
      <c r="F88" s="264" t="s">
        <v>117</v>
      </c>
      <c r="G88" s="264" t="str">
        <f>CONCATENATE(E88,F88)</f>
        <v>TECHProcurement</v>
      </c>
      <c r="H88" s="264"/>
      <c r="I88" s="265"/>
      <c r="J88" s="270">
        <f t="shared" si="7"/>
        <v>0</v>
      </c>
      <c r="K88" s="266">
        <f t="shared" si="6"/>
        <v>0</v>
      </c>
      <c r="L88" s="266">
        <f t="shared" si="6"/>
        <v>0</v>
      </c>
      <c r="M88" s="266">
        <f t="shared" si="6"/>
        <v>0</v>
      </c>
      <c r="N88" s="266">
        <f t="shared" si="6"/>
        <v>0</v>
      </c>
      <c r="O88" s="266">
        <f t="shared" si="6"/>
        <v>0</v>
      </c>
      <c r="P88" s="266">
        <f t="shared" si="6"/>
        <v>0</v>
      </c>
      <c r="Q88" s="266">
        <f t="shared" si="6"/>
        <v>0</v>
      </c>
      <c r="R88" s="266">
        <f t="shared" si="6"/>
        <v>0</v>
      </c>
      <c r="S88" s="266">
        <f t="shared" si="6"/>
        <v>0</v>
      </c>
      <c r="T88" s="266">
        <f t="shared" si="6"/>
        <v>0</v>
      </c>
      <c r="U88" s="266">
        <f t="shared" si="6"/>
        <v>0</v>
      </c>
      <c r="V88" s="266">
        <f t="shared" si="6"/>
        <v>0</v>
      </c>
      <c r="W88" s="266">
        <f t="shared" si="6"/>
        <v>0</v>
      </c>
      <c r="X88" s="266">
        <f t="shared" si="6"/>
        <v>0</v>
      </c>
      <c r="Y88" s="266">
        <f t="shared" si="6"/>
        <v>0</v>
      </c>
      <c r="Z88" s="266">
        <f t="shared" si="6"/>
        <v>0</v>
      </c>
      <c r="AA88" s="266">
        <f t="shared" si="6"/>
        <v>0</v>
      </c>
      <c r="AB88" s="266">
        <f t="shared" si="6"/>
        <v>0</v>
      </c>
      <c r="AC88" s="266">
        <f t="shared" si="6"/>
        <v>0</v>
      </c>
      <c r="AD88" s="266">
        <f t="shared" si="6"/>
        <v>0</v>
      </c>
      <c r="AE88" s="266">
        <f t="shared" si="6"/>
        <v>0</v>
      </c>
      <c r="AF88" s="266">
        <f t="shared" si="6"/>
        <v>0</v>
      </c>
      <c r="AG88" s="267">
        <f t="shared" si="6"/>
        <v>0</v>
      </c>
      <c r="AH88" s="267">
        <f t="shared" si="6"/>
        <v>0</v>
      </c>
    </row>
    <row r="89" spans="2:35">
      <c r="AH89" s="124"/>
    </row>
    <row r="90" spans="2:35">
      <c r="J90" s="124">
        <f t="shared" ref="J90:AH90" si="8">SUM(J84:J88)</f>
        <v>102.84460869565218</v>
      </c>
      <c r="K90" s="124">
        <f t="shared" si="8"/>
        <v>102.84460869565218</v>
      </c>
      <c r="L90" s="124">
        <f t="shared" si="8"/>
        <v>63.53732608695654</v>
      </c>
      <c r="M90" s="124">
        <f t="shared" si="8"/>
        <v>63.53732608695654</v>
      </c>
      <c r="N90" s="124">
        <f t="shared" si="8"/>
        <v>63.53732608695654</v>
      </c>
      <c r="O90" s="124">
        <f t="shared" si="8"/>
        <v>63.53732608695654</v>
      </c>
      <c r="P90" s="124">
        <f t="shared" si="8"/>
        <v>20.532978260869569</v>
      </c>
      <c r="Q90" s="124">
        <f t="shared" si="8"/>
        <v>20.532978260869569</v>
      </c>
      <c r="R90" s="124">
        <f t="shared" si="8"/>
        <v>20.532978260869569</v>
      </c>
      <c r="S90" s="124">
        <f t="shared" si="8"/>
        <v>20.532978260869569</v>
      </c>
      <c r="T90" s="124">
        <f t="shared" si="8"/>
        <v>0</v>
      </c>
      <c r="U90" s="124">
        <f t="shared" si="8"/>
        <v>0</v>
      </c>
      <c r="V90" s="124">
        <f t="shared" si="8"/>
        <v>0</v>
      </c>
      <c r="W90" s="124">
        <f t="shared" si="8"/>
        <v>0</v>
      </c>
      <c r="X90" s="124">
        <f t="shared" si="8"/>
        <v>0</v>
      </c>
      <c r="Y90" s="124">
        <f t="shared" si="8"/>
        <v>0</v>
      </c>
      <c r="Z90" s="124">
        <f t="shared" si="8"/>
        <v>0</v>
      </c>
      <c r="AA90" s="124">
        <f t="shared" si="8"/>
        <v>0</v>
      </c>
      <c r="AB90" s="124">
        <f t="shared" si="8"/>
        <v>0</v>
      </c>
      <c r="AC90" s="124">
        <f t="shared" si="8"/>
        <v>0</v>
      </c>
      <c r="AD90" s="124">
        <f t="shared" si="8"/>
        <v>0</v>
      </c>
      <c r="AE90" s="124">
        <f t="shared" si="8"/>
        <v>0</v>
      </c>
      <c r="AF90" s="124">
        <f t="shared" si="8"/>
        <v>0</v>
      </c>
      <c r="AG90" s="124">
        <f t="shared" si="8"/>
        <v>0</v>
      </c>
      <c r="AH90" s="124">
        <f t="shared" si="8"/>
        <v>541.97043478260889</v>
      </c>
    </row>
    <row r="92" spans="2:35">
      <c r="J92" s="608"/>
      <c r="K92" s="608"/>
      <c r="L92" s="608"/>
      <c r="M92" s="608"/>
      <c r="N92" s="608"/>
      <c r="O92" s="608"/>
      <c r="P92" s="608"/>
      <c r="Q92" s="608"/>
      <c r="R92" s="608"/>
      <c r="S92" s="608"/>
    </row>
  </sheetData>
  <pageMargins left="0.7" right="0.7" top="0.75" bottom="0.75" header="0.3" footer="0.3"/>
  <pageSetup paperSize="9"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tint="-0.499984740745262"/>
  </sheetPr>
  <dimension ref="A1:AL48"/>
  <sheetViews>
    <sheetView topLeftCell="F1" workbookViewId="0">
      <selection activeCell="AZ351" sqref="AZ351"/>
    </sheetView>
  </sheetViews>
  <sheetFormatPr defaultColWidth="8.85546875" defaultRowHeight="15"/>
  <cols>
    <col min="2" max="2" width="19.42578125" customWidth="1"/>
    <col min="3" max="3" width="9.42578125" customWidth="1"/>
    <col min="4" max="4" width="20.42578125" customWidth="1"/>
    <col min="6" max="6" width="25.7109375" customWidth="1"/>
    <col min="7" max="7" width="22.42578125" style="36" customWidth="1"/>
    <col min="8" max="8" width="12.42578125" style="36" bestFit="1" customWidth="1"/>
    <col min="9" max="9" width="15" style="36" customWidth="1"/>
    <col min="10" max="10" width="20.140625" style="36" customWidth="1"/>
    <col min="11" max="11" width="3.28515625" customWidth="1"/>
    <col min="13" max="13" width="8.85546875" customWidth="1"/>
    <col min="20" max="20" width="9.140625" customWidth="1"/>
    <col min="24" max="24" width="11.140625" style="104" bestFit="1" customWidth="1"/>
    <col min="25" max="25" width="4.140625" customWidth="1"/>
    <col min="34" max="34" width="9.140625" customWidth="1"/>
    <col min="38" max="38" width="11.140625" style="297" bestFit="1" customWidth="1"/>
  </cols>
  <sheetData>
    <row r="1" spans="1:38" ht="18.75">
      <c r="A1" s="1" t="s">
        <v>528</v>
      </c>
      <c r="B1" s="1"/>
      <c r="C1" s="1"/>
    </row>
    <row r="2" spans="1:38">
      <c r="D2" s="4" t="s">
        <v>529</v>
      </c>
    </row>
    <row r="3" spans="1:38">
      <c r="D3" s="6" t="s">
        <v>530</v>
      </c>
      <c r="E3" s="7">
        <v>2019</v>
      </c>
    </row>
    <row r="4" spans="1:38">
      <c r="D4" s="6" t="s">
        <v>531</v>
      </c>
      <c r="E4" s="125" t="s">
        <v>830</v>
      </c>
      <c r="F4" s="17"/>
      <c r="L4" t="s">
        <v>1336</v>
      </c>
      <c r="Z4" t="s">
        <v>1337</v>
      </c>
    </row>
    <row r="5" spans="1:38">
      <c r="D5" s="6" t="s">
        <v>1338</v>
      </c>
      <c r="E5" s="125">
        <v>1.1499999999999999</v>
      </c>
      <c r="F5" t="s">
        <v>1339</v>
      </c>
      <c r="L5" s="2">
        <v>2020</v>
      </c>
      <c r="M5" s="2"/>
      <c r="N5" s="2"/>
      <c r="O5" s="2"/>
      <c r="P5" s="3">
        <v>2021</v>
      </c>
      <c r="Q5" s="3"/>
      <c r="R5" s="3"/>
      <c r="S5" s="3"/>
      <c r="T5" s="2">
        <v>2022</v>
      </c>
      <c r="U5" s="2"/>
      <c r="V5" s="2"/>
      <c r="W5" s="2"/>
      <c r="Z5" s="2">
        <v>2020</v>
      </c>
      <c r="AA5" s="2"/>
      <c r="AB5" s="2"/>
      <c r="AC5" s="2"/>
      <c r="AD5" s="3">
        <v>2021</v>
      </c>
      <c r="AE5" s="3"/>
      <c r="AF5" s="3"/>
      <c r="AG5" s="3"/>
      <c r="AH5" s="2">
        <v>2022</v>
      </c>
      <c r="AI5" s="2"/>
      <c r="AJ5" s="2"/>
      <c r="AK5" s="2"/>
    </row>
    <row r="6" spans="1:38">
      <c r="L6" t="s">
        <v>536</v>
      </c>
      <c r="O6" t="s">
        <v>537</v>
      </c>
      <c r="Z6" t="s">
        <v>536</v>
      </c>
      <c r="AC6" t="s">
        <v>537</v>
      </c>
    </row>
    <row r="7" spans="1:38">
      <c r="D7" s="9" t="s">
        <v>542</v>
      </c>
      <c r="E7" s="10"/>
      <c r="F7" s="11"/>
      <c r="G7" s="36" t="s">
        <v>662</v>
      </c>
      <c r="H7" s="36" t="s">
        <v>544</v>
      </c>
      <c r="I7" s="36" t="s">
        <v>546</v>
      </c>
      <c r="K7" s="17"/>
      <c r="L7" s="17" t="s">
        <v>548</v>
      </c>
      <c r="M7" s="17" t="s">
        <v>549</v>
      </c>
      <c r="N7" s="17" t="s">
        <v>550</v>
      </c>
      <c r="O7" s="17" t="s">
        <v>551</v>
      </c>
      <c r="P7" s="17" t="s">
        <v>548</v>
      </c>
      <c r="Q7" s="17" t="s">
        <v>549</v>
      </c>
      <c r="R7" s="17" t="s">
        <v>550</v>
      </c>
      <c r="S7" s="17" t="s">
        <v>551</v>
      </c>
      <c r="T7" s="17" t="s">
        <v>548</v>
      </c>
      <c r="U7" s="17" t="s">
        <v>549</v>
      </c>
      <c r="V7" s="17" t="s">
        <v>550</v>
      </c>
      <c r="W7" s="17" t="s">
        <v>551</v>
      </c>
      <c r="Z7" s="17" t="s">
        <v>548</v>
      </c>
      <c r="AA7" s="17" t="s">
        <v>549</v>
      </c>
      <c r="AB7" s="17" t="s">
        <v>550</v>
      </c>
      <c r="AC7" s="17" t="s">
        <v>551</v>
      </c>
      <c r="AD7" s="17" t="s">
        <v>548</v>
      </c>
      <c r="AE7" s="17" t="s">
        <v>549</v>
      </c>
      <c r="AF7" s="17" t="s">
        <v>550</v>
      </c>
      <c r="AG7" s="17" t="s">
        <v>551</v>
      </c>
      <c r="AH7" s="17" t="s">
        <v>548</v>
      </c>
      <c r="AI7" s="17" t="s">
        <v>549</v>
      </c>
      <c r="AJ7" s="17" t="s">
        <v>550</v>
      </c>
      <c r="AK7" s="17" t="s">
        <v>551</v>
      </c>
    </row>
    <row r="8" spans="1:38">
      <c r="D8" s="12" t="s">
        <v>552</v>
      </c>
      <c r="E8" s="13"/>
      <c r="F8" s="14"/>
      <c r="K8" s="17"/>
      <c r="L8" s="17" t="s">
        <v>554</v>
      </c>
      <c r="M8" s="17"/>
      <c r="N8" s="17"/>
      <c r="O8" s="17" t="s">
        <v>555</v>
      </c>
      <c r="P8" s="17"/>
      <c r="Q8" s="17"/>
      <c r="R8" s="17"/>
      <c r="S8" s="17"/>
      <c r="T8" s="17"/>
      <c r="U8" s="17"/>
      <c r="V8" s="17"/>
      <c r="W8" s="17"/>
      <c r="Z8" s="17" t="s">
        <v>554</v>
      </c>
      <c r="AA8" s="17"/>
      <c r="AB8" s="17"/>
      <c r="AC8" s="17" t="s">
        <v>555</v>
      </c>
      <c r="AD8" s="17"/>
      <c r="AE8" s="17"/>
      <c r="AF8" s="17"/>
      <c r="AG8" s="17"/>
      <c r="AH8" s="17"/>
      <c r="AI8" s="17"/>
      <c r="AJ8" s="17"/>
      <c r="AK8" s="17"/>
    </row>
    <row r="9" spans="1:38">
      <c r="D9" s="39" t="s">
        <v>556</v>
      </c>
      <c r="E9" s="40"/>
      <c r="F9" s="41"/>
      <c r="L9" s="8">
        <v>43862</v>
      </c>
      <c r="M9" s="8">
        <v>43922</v>
      </c>
      <c r="N9" s="8">
        <v>44012</v>
      </c>
      <c r="O9" s="8">
        <v>44227</v>
      </c>
      <c r="Z9" s="8">
        <v>43862</v>
      </c>
      <c r="AA9" s="8">
        <v>43922</v>
      </c>
      <c r="AB9" s="8">
        <v>44012</v>
      </c>
      <c r="AC9" s="8">
        <v>44227</v>
      </c>
    </row>
    <row r="10" spans="1:38">
      <c r="C10" s="295"/>
      <c r="D10" s="46" t="s">
        <v>1340</v>
      </c>
      <c r="E10" s="47"/>
      <c r="F10" s="41" t="s">
        <v>1341</v>
      </c>
      <c r="G10" s="36" t="s">
        <v>1342</v>
      </c>
      <c r="H10" s="36" t="s">
        <v>1343</v>
      </c>
      <c r="I10" s="36" t="s">
        <v>546</v>
      </c>
      <c r="L10" s="28"/>
      <c r="M10" s="28"/>
      <c r="N10" s="28"/>
      <c r="O10" s="28"/>
      <c r="P10" s="28"/>
      <c r="Q10" s="28"/>
      <c r="R10" s="28"/>
      <c r="S10" s="28"/>
      <c r="T10" s="28"/>
      <c r="U10" s="28"/>
      <c r="V10" s="28"/>
      <c r="W10" s="28"/>
      <c r="Z10" s="28"/>
      <c r="AA10" s="28"/>
      <c r="AB10" s="28"/>
      <c r="AC10" s="28"/>
      <c r="AD10" s="28"/>
      <c r="AE10" s="28"/>
      <c r="AF10" s="28"/>
      <c r="AG10" s="28"/>
      <c r="AH10" s="28"/>
      <c r="AI10" s="28"/>
      <c r="AJ10" s="28"/>
      <c r="AK10" s="28"/>
    </row>
    <row r="11" spans="1:38">
      <c r="A11" t="s">
        <v>22</v>
      </c>
      <c r="B11" t="s">
        <v>824</v>
      </c>
      <c r="C11" s="295">
        <v>110800</v>
      </c>
      <c r="D11" s="277" t="s">
        <v>31</v>
      </c>
      <c r="E11" s="278"/>
      <c r="F11" s="279"/>
      <c r="G11" s="280">
        <v>43864</v>
      </c>
      <c r="H11" s="280">
        <v>44704</v>
      </c>
      <c r="I11" s="277" t="s">
        <v>1344</v>
      </c>
      <c r="J11" s="281" t="s">
        <v>1345</v>
      </c>
      <c r="L11" s="282"/>
      <c r="M11" s="282"/>
      <c r="N11" s="282"/>
      <c r="O11" s="282"/>
      <c r="P11" s="282"/>
      <c r="Q11" s="282"/>
      <c r="R11" s="282"/>
      <c r="S11" s="282"/>
      <c r="T11" s="282"/>
      <c r="U11" s="282"/>
      <c r="V11" s="28"/>
      <c r="W11" s="28"/>
      <c r="Z11" s="282"/>
      <c r="AA11" s="282"/>
      <c r="AB11" s="282"/>
      <c r="AC11" s="282"/>
      <c r="AD11" s="282"/>
      <c r="AE11" s="282"/>
      <c r="AF11" s="282"/>
      <c r="AG11" s="282"/>
      <c r="AH11" s="282"/>
      <c r="AI11" s="282"/>
      <c r="AJ11" s="28"/>
      <c r="AK11" s="28"/>
    </row>
    <row r="12" spans="1:38">
      <c r="A12" t="s">
        <v>32</v>
      </c>
      <c r="B12" t="str">
        <f>VLOOKUP(A12,'Price Table 8 RUAG'!A:B,2,FALSE)</f>
        <v>Management</v>
      </c>
      <c r="C12" s="295">
        <v>110800</v>
      </c>
      <c r="D12" s="294" t="s">
        <v>31</v>
      </c>
      <c r="E12" s="43"/>
      <c r="F12" s="44"/>
      <c r="G12" s="36" t="s">
        <v>31</v>
      </c>
      <c r="H12" s="36" t="s">
        <v>13</v>
      </c>
      <c r="J12" s="283">
        <v>109627</v>
      </c>
      <c r="L12" s="284">
        <f t="shared" ref="L12:U14" si="0">$J12/10</f>
        <v>10962.7</v>
      </c>
      <c r="M12" s="284">
        <f t="shared" si="0"/>
        <v>10962.7</v>
      </c>
      <c r="N12" s="284">
        <f t="shared" si="0"/>
        <v>10962.7</v>
      </c>
      <c r="O12" s="284">
        <f t="shared" si="0"/>
        <v>10962.7</v>
      </c>
      <c r="P12" s="284">
        <f t="shared" si="0"/>
        <v>10962.7</v>
      </c>
      <c r="Q12" s="284">
        <f t="shared" si="0"/>
        <v>10962.7</v>
      </c>
      <c r="R12" s="284">
        <f t="shared" si="0"/>
        <v>10962.7</v>
      </c>
      <c r="S12" s="284">
        <f t="shared" si="0"/>
        <v>10962.7</v>
      </c>
      <c r="T12" s="284">
        <f t="shared" si="0"/>
        <v>10962.7</v>
      </c>
      <c r="U12" s="284">
        <f t="shared" si="0"/>
        <v>10962.7</v>
      </c>
      <c r="V12" s="28"/>
      <c r="W12" s="28"/>
      <c r="X12" s="104">
        <f t="shared" ref="X12:X38" si="1">SUM(L12:W12)</f>
        <v>109626.99999999999</v>
      </c>
      <c r="Z12" s="119">
        <f t="shared" ref="Z12:AA14" si="2">L12/$E$5/1000</f>
        <v>9.5327826086956531</v>
      </c>
      <c r="AA12" s="119">
        <f t="shared" si="2"/>
        <v>9.5327826086956531</v>
      </c>
      <c r="AB12" s="119">
        <f t="shared" ref="AB12:AB14" si="3">N12/$E$5/1000</f>
        <v>9.5327826086956531</v>
      </c>
      <c r="AC12" s="119">
        <f t="shared" ref="AC12:AC14" si="4">O12/$E$5/1000</f>
        <v>9.5327826086956531</v>
      </c>
      <c r="AD12" s="119">
        <f t="shared" ref="AD12:AD14" si="5">P12/$E$5/1000</f>
        <v>9.5327826086956531</v>
      </c>
      <c r="AE12" s="119">
        <f t="shared" ref="AE12:AE14" si="6">Q12/$E$5/1000</f>
        <v>9.5327826086956531</v>
      </c>
      <c r="AF12" s="119">
        <f t="shared" ref="AF12:AF14" si="7">R12/$E$5/1000</f>
        <v>9.5327826086956531</v>
      </c>
      <c r="AG12" s="119">
        <f t="shared" ref="AG12:AG14" si="8">S12/$E$5/1000</f>
        <v>9.5327826086956531</v>
      </c>
      <c r="AH12" s="119">
        <f t="shared" ref="AH12:AH14" si="9">T12/$E$5/1000</f>
        <v>9.5327826086956531</v>
      </c>
      <c r="AI12" s="119">
        <f t="shared" ref="AI12:AI14" si="10">U12/$E$5/1000</f>
        <v>9.5327826086956531</v>
      </c>
      <c r="AJ12" s="28"/>
      <c r="AK12" s="28"/>
      <c r="AL12" s="297">
        <f t="shared" ref="AL12:AL38" si="11">SUM(Z12:AK12)</f>
        <v>95.327826086956534</v>
      </c>
    </row>
    <row r="13" spans="1:38">
      <c r="A13" t="s">
        <v>32</v>
      </c>
      <c r="B13" t="str">
        <f>VLOOKUP(A13,'Price Table 8 RUAG'!A:B,2,FALSE)</f>
        <v>Management</v>
      </c>
      <c r="C13" s="295">
        <v>110800</v>
      </c>
      <c r="D13" s="294" t="s">
        <v>1346</v>
      </c>
      <c r="E13" s="43"/>
      <c r="F13" s="44"/>
      <c r="G13" s="36" t="s">
        <v>1346</v>
      </c>
      <c r="H13" s="36" t="s">
        <v>1346</v>
      </c>
      <c r="J13" s="283">
        <v>8770</v>
      </c>
      <c r="L13" s="284">
        <f t="shared" si="0"/>
        <v>877</v>
      </c>
      <c r="M13" s="284">
        <f t="shared" si="0"/>
        <v>877</v>
      </c>
      <c r="N13" s="284">
        <f t="shared" si="0"/>
        <v>877</v>
      </c>
      <c r="O13" s="284">
        <f t="shared" si="0"/>
        <v>877</v>
      </c>
      <c r="P13" s="284">
        <f t="shared" si="0"/>
        <v>877</v>
      </c>
      <c r="Q13" s="284">
        <f t="shared" si="0"/>
        <v>877</v>
      </c>
      <c r="R13" s="284">
        <f t="shared" si="0"/>
        <v>877</v>
      </c>
      <c r="S13" s="284">
        <f t="shared" si="0"/>
        <v>877</v>
      </c>
      <c r="T13" s="284">
        <f t="shared" si="0"/>
        <v>877</v>
      </c>
      <c r="U13" s="284">
        <f t="shared" si="0"/>
        <v>877</v>
      </c>
      <c r="V13" s="28"/>
      <c r="W13" s="28"/>
      <c r="X13" s="104">
        <f t="shared" si="1"/>
        <v>8770</v>
      </c>
      <c r="Z13" s="119">
        <f t="shared" si="2"/>
        <v>0.76260869565217404</v>
      </c>
      <c r="AA13" s="119">
        <f t="shared" si="2"/>
        <v>0.76260869565217404</v>
      </c>
      <c r="AB13" s="119">
        <f t="shared" si="3"/>
        <v>0.76260869565217404</v>
      </c>
      <c r="AC13" s="119">
        <f t="shared" si="4"/>
        <v>0.76260869565217404</v>
      </c>
      <c r="AD13" s="119">
        <f t="shared" si="5"/>
        <v>0.76260869565217404</v>
      </c>
      <c r="AE13" s="119">
        <f t="shared" si="6"/>
        <v>0.76260869565217404</v>
      </c>
      <c r="AF13" s="119">
        <f t="shared" si="7"/>
        <v>0.76260869565217404</v>
      </c>
      <c r="AG13" s="119">
        <f t="shared" si="8"/>
        <v>0.76260869565217404</v>
      </c>
      <c r="AH13" s="119">
        <f t="shared" si="9"/>
        <v>0.76260869565217404</v>
      </c>
      <c r="AI13" s="119">
        <f t="shared" si="10"/>
        <v>0.76260869565217404</v>
      </c>
      <c r="AJ13" s="28"/>
      <c r="AK13" s="28"/>
      <c r="AL13" s="297">
        <f t="shared" si="11"/>
        <v>7.6260869565217417</v>
      </c>
    </row>
    <row r="14" spans="1:38">
      <c r="A14" t="s">
        <v>32</v>
      </c>
      <c r="B14" t="str">
        <f>VLOOKUP(A14,'Price Table 8 RUAG'!A:B,2,FALSE)</f>
        <v>Management</v>
      </c>
      <c r="C14" s="295">
        <v>110800</v>
      </c>
      <c r="D14" s="294" t="s">
        <v>1347</v>
      </c>
      <c r="E14" s="43"/>
      <c r="F14" s="44"/>
      <c r="G14" s="36" t="s">
        <v>1348</v>
      </c>
      <c r="H14" s="36" t="s">
        <v>1173</v>
      </c>
      <c r="J14" s="283">
        <v>1776</v>
      </c>
      <c r="L14" s="284">
        <f t="shared" si="0"/>
        <v>177.6</v>
      </c>
      <c r="M14" s="284">
        <f t="shared" si="0"/>
        <v>177.6</v>
      </c>
      <c r="N14" s="284">
        <f t="shared" si="0"/>
        <v>177.6</v>
      </c>
      <c r="O14" s="284">
        <f t="shared" si="0"/>
        <v>177.6</v>
      </c>
      <c r="P14" s="284">
        <f t="shared" si="0"/>
        <v>177.6</v>
      </c>
      <c r="Q14" s="284">
        <f t="shared" si="0"/>
        <v>177.6</v>
      </c>
      <c r="R14" s="284">
        <f t="shared" si="0"/>
        <v>177.6</v>
      </c>
      <c r="S14" s="284">
        <f t="shared" si="0"/>
        <v>177.6</v>
      </c>
      <c r="T14" s="284">
        <f t="shared" si="0"/>
        <v>177.6</v>
      </c>
      <c r="U14" s="284">
        <f t="shared" si="0"/>
        <v>177.6</v>
      </c>
      <c r="V14" s="28"/>
      <c r="W14" s="28"/>
      <c r="X14" s="104">
        <f t="shared" si="1"/>
        <v>1775.9999999999995</v>
      </c>
      <c r="Z14" s="119">
        <f t="shared" si="2"/>
        <v>0.15443478260869564</v>
      </c>
      <c r="AA14" s="119">
        <f t="shared" si="2"/>
        <v>0.15443478260869564</v>
      </c>
      <c r="AB14" s="119">
        <f t="shared" si="3"/>
        <v>0.15443478260869564</v>
      </c>
      <c r="AC14" s="119">
        <f t="shared" si="4"/>
        <v>0.15443478260869564</v>
      </c>
      <c r="AD14" s="119">
        <f t="shared" si="5"/>
        <v>0.15443478260869564</v>
      </c>
      <c r="AE14" s="119">
        <f t="shared" si="6"/>
        <v>0.15443478260869564</v>
      </c>
      <c r="AF14" s="119">
        <f t="shared" si="7"/>
        <v>0.15443478260869564</v>
      </c>
      <c r="AG14" s="119">
        <f t="shared" si="8"/>
        <v>0.15443478260869564</v>
      </c>
      <c r="AH14" s="119">
        <f t="shared" si="9"/>
        <v>0.15443478260869564</v>
      </c>
      <c r="AI14" s="119">
        <f t="shared" si="10"/>
        <v>0.15443478260869564</v>
      </c>
      <c r="AJ14" s="28"/>
      <c r="AK14" s="28"/>
      <c r="AL14" s="297">
        <f t="shared" si="11"/>
        <v>1.5443478260869561</v>
      </c>
    </row>
    <row r="15" spans="1:38" s="16" customFormat="1">
      <c r="C15" s="295"/>
      <c r="D15" s="45"/>
      <c r="E15" s="55"/>
      <c r="F15" s="56" t="s">
        <v>1349</v>
      </c>
      <c r="G15" s="57"/>
      <c r="I15" s="285">
        <v>104498</v>
      </c>
      <c r="J15" s="286">
        <v>120173</v>
      </c>
      <c r="L15" s="29"/>
      <c r="M15" s="29"/>
      <c r="N15" s="29"/>
      <c r="O15" s="29"/>
      <c r="P15" s="29"/>
      <c r="Q15" s="29"/>
      <c r="R15" s="29"/>
      <c r="S15" s="29"/>
      <c r="T15" s="29"/>
      <c r="U15" s="29"/>
      <c r="V15" s="28"/>
      <c r="W15" s="28"/>
      <c r="X15" s="104">
        <f t="shared" si="1"/>
        <v>0</v>
      </c>
      <c r="Z15" s="29"/>
      <c r="AA15" s="29"/>
      <c r="AB15" s="29"/>
      <c r="AC15" s="29"/>
      <c r="AD15" s="29"/>
      <c r="AE15" s="29"/>
      <c r="AF15" s="29"/>
      <c r="AG15" s="29"/>
      <c r="AH15" s="29"/>
      <c r="AI15" s="29"/>
      <c r="AJ15" s="28"/>
      <c r="AK15" s="28"/>
      <c r="AL15" s="297">
        <f t="shared" si="11"/>
        <v>0</v>
      </c>
    </row>
    <row r="16" spans="1:38">
      <c r="C16" s="295">
        <v>480211</v>
      </c>
      <c r="D16" s="277" t="s">
        <v>1350</v>
      </c>
      <c r="E16" s="287"/>
      <c r="F16" s="279"/>
      <c r="G16" s="280">
        <v>43864</v>
      </c>
      <c r="H16" s="280">
        <v>44029</v>
      </c>
      <c r="I16" s="277" t="s">
        <v>1351</v>
      </c>
      <c r="J16" s="281" t="s">
        <v>1345</v>
      </c>
      <c r="L16" s="282"/>
      <c r="M16" s="282"/>
      <c r="N16" s="29"/>
      <c r="O16" s="28"/>
      <c r="P16" s="28"/>
      <c r="Q16" s="28"/>
      <c r="R16" s="28"/>
      <c r="S16" s="28"/>
      <c r="T16" s="28"/>
      <c r="U16" s="28"/>
      <c r="V16" s="28"/>
      <c r="W16" s="28"/>
      <c r="X16" s="104">
        <f t="shared" si="1"/>
        <v>0</v>
      </c>
      <c r="Z16" s="282"/>
      <c r="AA16" s="282"/>
      <c r="AB16" s="29"/>
      <c r="AC16" s="28"/>
      <c r="AD16" s="28"/>
      <c r="AE16" s="28"/>
      <c r="AF16" s="28"/>
      <c r="AG16" s="28"/>
      <c r="AH16" s="28"/>
      <c r="AI16" s="28"/>
      <c r="AJ16" s="28"/>
      <c r="AK16" s="28"/>
      <c r="AL16" s="297">
        <f t="shared" si="11"/>
        <v>0</v>
      </c>
    </row>
    <row r="17" spans="1:38">
      <c r="A17" t="s">
        <v>293</v>
      </c>
      <c r="B17" t="str">
        <f>VLOOKUP(A17,'Price Table 8 RUAG'!A:B,2,FALSE)</f>
        <v>CS - Engineering and SW</v>
      </c>
      <c r="C17" s="295">
        <v>480211</v>
      </c>
      <c r="D17" s="294" t="s">
        <v>1352</v>
      </c>
      <c r="E17" s="53"/>
      <c r="F17" s="44"/>
      <c r="G17" s="37" t="s">
        <v>1353</v>
      </c>
      <c r="H17" s="36" t="s">
        <v>13</v>
      </c>
      <c r="J17" s="283">
        <v>125526</v>
      </c>
      <c r="L17" s="284">
        <f>$J17/2</f>
        <v>62763</v>
      </c>
      <c r="M17" s="284">
        <f>$J17/2</f>
        <v>62763</v>
      </c>
      <c r="N17" s="29"/>
      <c r="O17" s="28"/>
      <c r="P17" s="28"/>
      <c r="Q17" s="28"/>
      <c r="R17" s="28"/>
      <c r="S17" s="28"/>
      <c r="T17" s="28"/>
      <c r="U17" s="28"/>
      <c r="V17" s="28"/>
      <c r="W17" s="28"/>
      <c r="X17" s="104">
        <f t="shared" si="1"/>
        <v>125526</v>
      </c>
      <c r="Z17" s="119">
        <f t="shared" ref="Z17:Z20" si="12">L17/$E$5/1000</f>
        <v>54.576521739130442</v>
      </c>
      <c r="AA17" s="119">
        <f t="shared" ref="AA17:AA20" si="13">M17/$E$5/1000</f>
        <v>54.576521739130442</v>
      </c>
      <c r="AB17" s="29"/>
      <c r="AC17" s="28"/>
      <c r="AD17" s="28"/>
      <c r="AE17" s="28"/>
      <c r="AF17" s="28"/>
      <c r="AG17" s="28"/>
      <c r="AH17" s="28"/>
      <c r="AI17" s="28"/>
      <c r="AJ17" s="28"/>
      <c r="AK17" s="28"/>
      <c r="AL17" s="297">
        <f t="shared" si="11"/>
        <v>109.15304347826088</v>
      </c>
    </row>
    <row r="18" spans="1:38">
      <c r="A18" t="s">
        <v>293</v>
      </c>
      <c r="B18" t="str">
        <f>VLOOKUP(A18,'Price Table 8 RUAG'!A:B,2,FALSE)</f>
        <v>CS - Engineering and SW</v>
      </c>
      <c r="C18" s="295">
        <v>480211</v>
      </c>
      <c r="D18" s="294" t="s">
        <v>1354</v>
      </c>
      <c r="E18" s="53"/>
      <c r="F18" s="44"/>
      <c r="G18" s="37" t="s">
        <v>1355</v>
      </c>
      <c r="H18" s="36" t="s">
        <v>1356</v>
      </c>
      <c r="J18" s="283">
        <v>633</v>
      </c>
      <c r="L18" s="284">
        <f t="shared" ref="L18:M20" si="14">$J18/2</f>
        <v>316.5</v>
      </c>
      <c r="M18" s="284">
        <f t="shared" si="14"/>
        <v>316.5</v>
      </c>
      <c r="N18" s="29"/>
      <c r="O18" s="28"/>
      <c r="P18" s="28"/>
      <c r="Q18" s="28"/>
      <c r="R18" s="28"/>
      <c r="S18" s="28"/>
      <c r="T18" s="28"/>
      <c r="U18" s="28"/>
      <c r="V18" s="28"/>
      <c r="W18" s="28"/>
      <c r="X18" s="104">
        <f t="shared" si="1"/>
        <v>633</v>
      </c>
      <c r="Z18" s="119">
        <f t="shared" si="12"/>
        <v>0.27521739130434786</v>
      </c>
      <c r="AA18" s="119">
        <f t="shared" si="13"/>
        <v>0.27521739130434786</v>
      </c>
      <c r="AB18" s="29"/>
      <c r="AC18" s="28"/>
      <c r="AD18" s="28"/>
      <c r="AE18" s="28"/>
      <c r="AF18" s="28"/>
      <c r="AG18" s="28"/>
      <c r="AH18" s="28"/>
      <c r="AI18" s="28"/>
      <c r="AJ18" s="28"/>
      <c r="AK18" s="28"/>
      <c r="AL18" s="297">
        <f t="shared" si="11"/>
        <v>0.55043478260869572</v>
      </c>
    </row>
    <row r="19" spans="1:38">
      <c r="A19" t="s">
        <v>293</v>
      </c>
      <c r="B19" t="str">
        <f>VLOOKUP(A19,'Price Table 8 RUAG'!A:B,2,FALSE)</f>
        <v>CS - Engineering and SW</v>
      </c>
      <c r="C19" s="295">
        <v>480211</v>
      </c>
      <c r="D19" s="294" t="s">
        <v>1346</v>
      </c>
      <c r="E19" s="53"/>
      <c r="F19" s="44"/>
      <c r="G19" s="37" t="s">
        <v>1346</v>
      </c>
      <c r="H19" s="36" t="s">
        <v>1346</v>
      </c>
      <c r="J19" s="283">
        <v>10093</v>
      </c>
      <c r="L19" s="284">
        <f t="shared" si="14"/>
        <v>5046.5</v>
      </c>
      <c r="M19" s="284">
        <f t="shared" si="14"/>
        <v>5046.5</v>
      </c>
      <c r="N19" s="29"/>
      <c r="O19" s="28"/>
      <c r="P19" s="28"/>
      <c r="Q19" s="28"/>
      <c r="R19" s="28"/>
      <c r="S19" s="28"/>
      <c r="T19" s="28"/>
      <c r="U19" s="28"/>
      <c r="V19" s="28"/>
      <c r="W19" s="28"/>
      <c r="X19" s="104">
        <f t="shared" si="1"/>
        <v>10093</v>
      </c>
      <c r="Z19" s="119">
        <f t="shared" si="12"/>
        <v>4.3882608695652179</v>
      </c>
      <c r="AA19" s="119">
        <f t="shared" si="13"/>
        <v>4.3882608695652179</v>
      </c>
      <c r="AB19" s="29"/>
      <c r="AC19" s="28"/>
      <c r="AD19" s="28"/>
      <c r="AE19" s="28"/>
      <c r="AF19" s="28"/>
      <c r="AG19" s="28"/>
      <c r="AH19" s="28"/>
      <c r="AI19" s="28"/>
      <c r="AJ19" s="28"/>
      <c r="AK19" s="28"/>
      <c r="AL19" s="297">
        <f t="shared" si="11"/>
        <v>8.7765217391304358</v>
      </c>
    </row>
    <row r="20" spans="1:38">
      <c r="A20" t="s">
        <v>293</v>
      </c>
      <c r="B20" t="str">
        <f>VLOOKUP(A20,'Price Table 8 RUAG'!A:B,2,FALSE)</f>
        <v>CS - Engineering and SW</v>
      </c>
      <c r="C20" s="295">
        <v>480211</v>
      </c>
      <c r="D20" s="294" t="s">
        <v>1347</v>
      </c>
      <c r="E20" s="53"/>
      <c r="F20" s="44"/>
      <c r="G20" s="36" t="s">
        <v>1348</v>
      </c>
      <c r="H20" s="36" t="s">
        <v>1173</v>
      </c>
      <c r="J20" s="283">
        <v>2044</v>
      </c>
      <c r="L20" s="284">
        <f t="shared" si="14"/>
        <v>1022</v>
      </c>
      <c r="M20" s="284">
        <f t="shared" si="14"/>
        <v>1022</v>
      </c>
      <c r="N20" s="29"/>
      <c r="O20" s="28"/>
      <c r="P20" s="28"/>
      <c r="Q20" s="28"/>
      <c r="R20" s="28"/>
      <c r="S20" s="28"/>
      <c r="T20" s="28"/>
      <c r="U20" s="28"/>
      <c r="V20" s="28"/>
      <c r="W20" s="28"/>
      <c r="X20" s="104">
        <f t="shared" si="1"/>
        <v>2044</v>
      </c>
      <c r="Z20" s="119">
        <f t="shared" si="12"/>
        <v>0.88869565217391311</v>
      </c>
      <c r="AA20" s="119">
        <f t="shared" si="13"/>
        <v>0.88869565217391311</v>
      </c>
      <c r="AB20" s="29"/>
      <c r="AC20" s="28"/>
      <c r="AD20" s="28"/>
      <c r="AE20" s="28"/>
      <c r="AF20" s="28"/>
      <c r="AG20" s="28"/>
      <c r="AH20" s="28"/>
      <c r="AI20" s="28"/>
      <c r="AJ20" s="28"/>
      <c r="AK20" s="28"/>
      <c r="AL20" s="297">
        <f t="shared" si="11"/>
        <v>1.7773913043478262</v>
      </c>
    </row>
    <row r="21" spans="1:38" s="16" customFormat="1">
      <c r="C21" s="295"/>
      <c r="D21" s="45"/>
      <c r="E21" s="55"/>
      <c r="F21" s="56" t="s">
        <v>1357</v>
      </c>
      <c r="G21" s="57"/>
      <c r="H21" s="57"/>
      <c r="I21" s="285">
        <v>120257</v>
      </c>
      <c r="J21" s="286">
        <v>138295</v>
      </c>
      <c r="L21" s="29"/>
      <c r="M21" s="29"/>
      <c r="N21" s="29"/>
      <c r="O21" s="29"/>
      <c r="P21" s="29"/>
      <c r="Q21" s="29"/>
      <c r="R21" s="29"/>
      <c r="S21" s="29"/>
      <c r="T21" s="29"/>
      <c r="U21" s="29"/>
      <c r="V21" s="29"/>
      <c r="W21" s="29"/>
      <c r="X21" s="104">
        <f t="shared" si="1"/>
        <v>0</v>
      </c>
      <c r="Z21" s="29"/>
      <c r="AA21" s="29"/>
      <c r="AB21" s="29"/>
      <c r="AC21" s="29"/>
      <c r="AD21" s="29"/>
      <c r="AE21" s="29"/>
      <c r="AF21" s="29"/>
      <c r="AG21" s="29"/>
      <c r="AH21" s="29"/>
      <c r="AI21" s="29"/>
      <c r="AJ21" s="29"/>
      <c r="AK21" s="29"/>
      <c r="AL21" s="297">
        <f t="shared" si="11"/>
        <v>0</v>
      </c>
    </row>
    <row r="22" spans="1:38">
      <c r="C22" s="295">
        <v>480221</v>
      </c>
      <c r="D22" s="277" t="s">
        <v>1358</v>
      </c>
      <c r="E22" s="287"/>
      <c r="F22" s="279"/>
      <c r="G22" s="280">
        <v>44032</v>
      </c>
      <c r="H22" s="280">
        <v>44368</v>
      </c>
      <c r="I22" s="277" t="s">
        <v>1359</v>
      </c>
      <c r="J22" s="281" t="s">
        <v>1345</v>
      </c>
      <c r="K22" s="18"/>
      <c r="L22" s="28"/>
      <c r="M22" s="28"/>
      <c r="N22" s="282"/>
      <c r="O22" s="282"/>
      <c r="P22" s="282"/>
      <c r="Q22" s="282"/>
      <c r="R22" s="28"/>
      <c r="S22" s="28"/>
      <c r="T22" s="28"/>
      <c r="U22" s="28"/>
      <c r="V22" s="28"/>
      <c r="W22" s="28"/>
      <c r="X22" s="104">
        <f t="shared" si="1"/>
        <v>0</v>
      </c>
      <c r="Z22" s="28"/>
      <c r="AA22" s="28"/>
      <c r="AB22" s="282"/>
      <c r="AC22" s="282"/>
      <c r="AD22" s="282"/>
      <c r="AE22" s="282"/>
      <c r="AF22" s="28"/>
      <c r="AG22" s="28"/>
      <c r="AH22" s="28"/>
      <c r="AI22" s="28"/>
      <c r="AJ22" s="28"/>
      <c r="AK22" s="28"/>
      <c r="AL22" s="297">
        <f t="shared" si="11"/>
        <v>0</v>
      </c>
    </row>
    <row r="23" spans="1:38">
      <c r="A23" t="s">
        <v>293</v>
      </c>
      <c r="B23" t="str">
        <f>VLOOKUP(A23,'Price Table 8 RUAG'!A:B,2,FALSE)</f>
        <v>CS - Engineering and SW</v>
      </c>
      <c r="C23" s="295">
        <v>480221</v>
      </c>
      <c r="D23" s="294" t="s">
        <v>1360</v>
      </c>
      <c r="E23" s="53"/>
      <c r="F23" s="44"/>
      <c r="G23" s="37" t="s">
        <v>1353</v>
      </c>
      <c r="H23" s="36" t="s">
        <v>13</v>
      </c>
      <c r="I23" s="288"/>
      <c r="J23" s="283">
        <v>179827</v>
      </c>
      <c r="L23" s="28"/>
      <c r="M23" s="28"/>
      <c r="N23" s="284">
        <f>$J23/4</f>
        <v>44956.75</v>
      </c>
      <c r="O23" s="284">
        <f t="shared" ref="O23:Q23" si="15">$J23/4</f>
        <v>44956.75</v>
      </c>
      <c r="P23" s="284">
        <f t="shared" si="15"/>
        <v>44956.75</v>
      </c>
      <c r="Q23" s="284">
        <f t="shared" si="15"/>
        <v>44956.75</v>
      </c>
      <c r="R23" s="28"/>
      <c r="S23" s="28"/>
      <c r="T23" s="28"/>
      <c r="U23" s="28"/>
      <c r="V23" s="28"/>
      <c r="W23" s="28"/>
      <c r="X23" s="104">
        <f t="shared" si="1"/>
        <v>179827</v>
      </c>
      <c r="Z23" s="28"/>
      <c r="AA23" s="28"/>
      <c r="AB23" s="119">
        <f t="shared" ref="AB23:AB26" si="16">N23/$E$5/1000</f>
        <v>39.092826086956528</v>
      </c>
      <c r="AC23" s="119">
        <f t="shared" ref="AC23:AC26" si="17">O23/$E$5/1000</f>
        <v>39.092826086956528</v>
      </c>
      <c r="AD23" s="119">
        <f t="shared" ref="AD23:AD26" si="18">P23/$E$5/1000</f>
        <v>39.092826086956528</v>
      </c>
      <c r="AE23" s="119">
        <f t="shared" ref="AE23:AE26" si="19">Q23/$E$5/1000</f>
        <v>39.092826086956528</v>
      </c>
      <c r="AF23" s="28"/>
      <c r="AG23" s="28"/>
      <c r="AH23" s="28"/>
      <c r="AI23" s="28"/>
      <c r="AJ23" s="28"/>
      <c r="AK23" s="28"/>
      <c r="AL23" s="297">
        <f t="shared" si="11"/>
        <v>156.37130434782611</v>
      </c>
    </row>
    <row r="24" spans="1:38">
      <c r="A24" t="s">
        <v>293</v>
      </c>
      <c r="B24" t="str">
        <f>VLOOKUP(A24,'Price Table 8 RUAG'!A:B,2,FALSE)</f>
        <v>CS - Engineering and SW</v>
      </c>
      <c r="C24" s="295">
        <v>480221</v>
      </c>
      <c r="D24" s="294" t="s">
        <v>1354</v>
      </c>
      <c r="E24" s="53"/>
      <c r="F24" s="44"/>
      <c r="G24" s="37" t="s">
        <v>1355</v>
      </c>
      <c r="H24" s="36" t="s">
        <v>1356</v>
      </c>
      <c r="I24" s="288"/>
      <c r="J24" s="283">
        <v>633</v>
      </c>
      <c r="L24" s="28"/>
      <c r="M24" s="28"/>
      <c r="N24" s="284">
        <f t="shared" ref="N24:Q26" si="20">$J24/4</f>
        <v>158.25</v>
      </c>
      <c r="O24" s="284">
        <f t="shared" si="20"/>
        <v>158.25</v>
      </c>
      <c r="P24" s="284">
        <f t="shared" si="20"/>
        <v>158.25</v>
      </c>
      <c r="Q24" s="284">
        <f t="shared" si="20"/>
        <v>158.25</v>
      </c>
      <c r="R24" s="28"/>
      <c r="S24" s="28"/>
      <c r="T24" s="28"/>
      <c r="U24" s="28"/>
      <c r="V24" s="28"/>
      <c r="W24" s="28"/>
      <c r="X24" s="104">
        <f t="shared" si="1"/>
        <v>633</v>
      </c>
      <c r="Z24" s="28"/>
      <c r="AA24" s="28"/>
      <c r="AB24" s="119">
        <f t="shared" si="16"/>
        <v>0.13760869565217393</v>
      </c>
      <c r="AC24" s="119">
        <f t="shared" si="17"/>
        <v>0.13760869565217393</v>
      </c>
      <c r="AD24" s="119">
        <f t="shared" si="18"/>
        <v>0.13760869565217393</v>
      </c>
      <c r="AE24" s="119">
        <f t="shared" si="19"/>
        <v>0.13760869565217393</v>
      </c>
      <c r="AF24" s="28"/>
      <c r="AG24" s="28"/>
      <c r="AH24" s="28"/>
      <c r="AI24" s="28"/>
      <c r="AJ24" s="28"/>
      <c r="AK24" s="28"/>
      <c r="AL24" s="297">
        <f t="shared" si="11"/>
        <v>0.55043478260869572</v>
      </c>
    </row>
    <row r="25" spans="1:38">
      <c r="A25" t="s">
        <v>293</v>
      </c>
      <c r="B25" t="str">
        <f>VLOOKUP(A25,'Price Table 8 RUAG'!A:B,2,FALSE)</f>
        <v>CS - Engineering and SW</v>
      </c>
      <c r="C25" s="295">
        <v>480221</v>
      </c>
      <c r="D25" s="294" t="s">
        <v>1346</v>
      </c>
      <c r="E25" s="53"/>
      <c r="F25" s="44"/>
      <c r="G25" s="37" t="s">
        <v>1346</v>
      </c>
      <c r="H25" s="36" t="s">
        <v>1346</v>
      </c>
      <c r="I25" s="288"/>
      <c r="J25" s="283">
        <v>14437</v>
      </c>
      <c r="L25" s="28"/>
      <c r="M25" s="28"/>
      <c r="N25" s="284">
        <f t="shared" si="20"/>
        <v>3609.25</v>
      </c>
      <c r="O25" s="284">
        <f t="shared" si="20"/>
        <v>3609.25</v>
      </c>
      <c r="P25" s="284">
        <f t="shared" si="20"/>
        <v>3609.25</v>
      </c>
      <c r="Q25" s="284">
        <f t="shared" si="20"/>
        <v>3609.25</v>
      </c>
      <c r="R25" s="28"/>
      <c r="S25" s="28"/>
      <c r="T25" s="28"/>
      <c r="U25" s="28"/>
      <c r="V25" s="28"/>
      <c r="W25" s="28"/>
      <c r="X25" s="104">
        <f t="shared" si="1"/>
        <v>14437</v>
      </c>
      <c r="Z25" s="28"/>
      <c r="AA25" s="28"/>
      <c r="AB25" s="119">
        <f t="shared" si="16"/>
        <v>3.1384782608695656</v>
      </c>
      <c r="AC25" s="119">
        <f t="shared" si="17"/>
        <v>3.1384782608695656</v>
      </c>
      <c r="AD25" s="119">
        <f t="shared" si="18"/>
        <v>3.1384782608695656</v>
      </c>
      <c r="AE25" s="119">
        <f t="shared" si="19"/>
        <v>3.1384782608695656</v>
      </c>
      <c r="AF25" s="28"/>
      <c r="AG25" s="28"/>
      <c r="AH25" s="28"/>
      <c r="AI25" s="28"/>
      <c r="AJ25" s="28"/>
      <c r="AK25" s="28"/>
      <c r="AL25" s="297">
        <f t="shared" si="11"/>
        <v>12.553913043478262</v>
      </c>
    </row>
    <row r="26" spans="1:38">
      <c r="A26" t="s">
        <v>293</v>
      </c>
      <c r="B26" t="str">
        <f>VLOOKUP(A26,'Price Table 8 RUAG'!A:B,2,FALSE)</f>
        <v>CS - Engineering and SW</v>
      </c>
      <c r="C26" s="295">
        <v>480221</v>
      </c>
      <c r="D26" s="294" t="s">
        <v>1347</v>
      </c>
      <c r="E26" s="53"/>
      <c r="F26" s="44"/>
      <c r="G26" s="36" t="s">
        <v>1348</v>
      </c>
      <c r="H26" s="36" t="s">
        <v>1173</v>
      </c>
      <c r="I26" s="288"/>
      <c r="J26" s="283">
        <v>2923</v>
      </c>
      <c r="L26" s="28"/>
      <c r="M26" s="28"/>
      <c r="N26" s="284">
        <f t="shared" si="20"/>
        <v>730.75</v>
      </c>
      <c r="O26" s="284">
        <f t="shared" si="20"/>
        <v>730.75</v>
      </c>
      <c r="P26" s="284">
        <f t="shared" si="20"/>
        <v>730.75</v>
      </c>
      <c r="Q26" s="284">
        <f t="shared" si="20"/>
        <v>730.75</v>
      </c>
      <c r="R26" s="28"/>
      <c r="S26" s="28"/>
      <c r="T26" s="28"/>
      <c r="U26" s="28"/>
      <c r="V26" s="28"/>
      <c r="W26" s="28"/>
      <c r="X26" s="104">
        <f t="shared" si="1"/>
        <v>2923</v>
      </c>
      <c r="Z26" s="28"/>
      <c r="AA26" s="28"/>
      <c r="AB26" s="119">
        <f t="shared" si="16"/>
        <v>0.63543478260869579</v>
      </c>
      <c r="AC26" s="119">
        <f t="shared" si="17"/>
        <v>0.63543478260869579</v>
      </c>
      <c r="AD26" s="119">
        <f t="shared" si="18"/>
        <v>0.63543478260869579</v>
      </c>
      <c r="AE26" s="119">
        <f t="shared" si="19"/>
        <v>0.63543478260869579</v>
      </c>
      <c r="AF26" s="28"/>
      <c r="AG26" s="28"/>
      <c r="AH26" s="28"/>
      <c r="AI26" s="28"/>
      <c r="AJ26" s="28"/>
      <c r="AK26" s="28"/>
      <c r="AL26" s="297">
        <f t="shared" si="11"/>
        <v>2.5417391304347832</v>
      </c>
    </row>
    <row r="27" spans="1:38" s="16" customFormat="1">
      <c r="C27" s="295"/>
      <c r="D27" s="45"/>
      <c r="E27" s="55"/>
      <c r="F27" s="56" t="s">
        <v>1349</v>
      </c>
      <c r="G27" s="57"/>
      <c r="H27" s="57"/>
      <c r="I27" s="285">
        <v>172017</v>
      </c>
      <c r="J27" s="286">
        <v>197819</v>
      </c>
      <c r="L27" s="29"/>
      <c r="M27" s="29"/>
      <c r="N27" s="29"/>
      <c r="O27" s="29"/>
      <c r="P27" s="29"/>
      <c r="Q27" s="29"/>
      <c r="R27" s="29"/>
      <c r="S27" s="29"/>
      <c r="T27" s="29"/>
      <c r="U27" s="29"/>
      <c r="V27" s="29"/>
      <c r="W27" s="29"/>
      <c r="X27" s="104">
        <f t="shared" si="1"/>
        <v>0</v>
      </c>
      <c r="Z27" s="29"/>
      <c r="AA27" s="29"/>
      <c r="AB27" s="29"/>
      <c r="AC27" s="29"/>
      <c r="AD27" s="29"/>
      <c r="AE27" s="29"/>
      <c r="AF27" s="29"/>
      <c r="AG27" s="29"/>
      <c r="AH27" s="29"/>
      <c r="AI27" s="29"/>
      <c r="AJ27" s="29"/>
      <c r="AK27" s="29"/>
      <c r="AL27" s="297">
        <f t="shared" si="11"/>
        <v>0</v>
      </c>
    </row>
    <row r="28" spans="1:38">
      <c r="C28" s="295">
        <v>401411</v>
      </c>
      <c r="D28" s="277" t="s">
        <v>1361</v>
      </c>
      <c r="E28" s="287"/>
      <c r="F28" s="279"/>
      <c r="G28" s="280">
        <v>43864</v>
      </c>
      <c r="H28" s="280">
        <v>44029</v>
      </c>
      <c r="I28" s="277" t="s">
        <v>1362</v>
      </c>
      <c r="J28" s="281" t="s">
        <v>1345</v>
      </c>
      <c r="L28" s="282"/>
      <c r="M28" s="282"/>
      <c r="N28" s="29"/>
      <c r="O28" s="28"/>
      <c r="P28" s="28"/>
      <c r="Q28" s="28"/>
      <c r="R28" s="28"/>
      <c r="S28" s="28"/>
      <c r="T28" s="28"/>
      <c r="U28" s="28"/>
      <c r="V28" s="28"/>
      <c r="W28" s="28"/>
      <c r="X28" s="104">
        <f t="shared" si="1"/>
        <v>0</v>
      </c>
      <c r="Z28" s="282"/>
      <c r="AA28" s="282"/>
      <c r="AB28" s="29"/>
      <c r="AC28" s="28"/>
      <c r="AD28" s="28"/>
      <c r="AE28" s="28"/>
      <c r="AF28" s="28"/>
      <c r="AG28" s="28"/>
      <c r="AH28" s="28"/>
      <c r="AI28" s="28"/>
      <c r="AJ28" s="28"/>
      <c r="AK28" s="28"/>
      <c r="AL28" s="297">
        <f t="shared" si="11"/>
        <v>0</v>
      </c>
    </row>
    <row r="29" spans="1:38">
      <c r="A29" t="s">
        <v>120</v>
      </c>
      <c r="B29" t="str">
        <f>VLOOKUP(A29,'Price Table 8 RUAG'!A:B,2,FALSE)</f>
        <v>Flight Systems Engineering</v>
      </c>
      <c r="C29" s="295">
        <v>401411</v>
      </c>
      <c r="D29" s="294" t="s">
        <v>1360</v>
      </c>
      <c r="E29" s="53"/>
      <c r="F29" s="44"/>
      <c r="G29" s="37" t="s">
        <v>1353</v>
      </c>
      <c r="H29" s="36" t="s">
        <v>13</v>
      </c>
      <c r="I29" s="288"/>
      <c r="J29" s="283">
        <v>67699</v>
      </c>
      <c r="L29" s="284">
        <f t="shared" ref="L29:M32" si="21">$J29/2</f>
        <v>33849.5</v>
      </c>
      <c r="M29" s="284">
        <f t="shared" si="21"/>
        <v>33849.5</v>
      </c>
      <c r="N29" s="29"/>
      <c r="O29" s="28"/>
      <c r="P29" s="28"/>
      <c r="Q29" s="28"/>
      <c r="R29" s="28"/>
      <c r="S29" s="28"/>
      <c r="T29" s="28"/>
      <c r="U29" s="28"/>
      <c r="V29" s="28"/>
      <c r="W29" s="28"/>
      <c r="X29" s="104">
        <f t="shared" si="1"/>
        <v>67699</v>
      </c>
      <c r="Z29" s="119">
        <f t="shared" ref="Z29:Z32" si="22">L29/$E$5/1000</f>
        <v>29.43434782608696</v>
      </c>
      <c r="AA29" s="119">
        <f t="shared" ref="AA29:AA32" si="23">M29/$E$5/1000</f>
        <v>29.43434782608696</v>
      </c>
      <c r="AB29" s="29"/>
      <c r="AC29" s="28"/>
      <c r="AD29" s="28"/>
      <c r="AE29" s="28"/>
      <c r="AF29" s="28"/>
      <c r="AG29" s="28"/>
      <c r="AH29" s="28"/>
      <c r="AI29" s="28"/>
      <c r="AJ29" s="28"/>
      <c r="AK29" s="28"/>
      <c r="AL29" s="297">
        <f t="shared" si="11"/>
        <v>58.868695652173919</v>
      </c>
    </row>
    <row r="30" spans="1:38">
      <c r="A30" t="s">
        <v>120</v>
      </c>
      <c r="B30" t="str">
        <f>VLOOKUP(A30,'Price Table 8 RUAG'!A:B,2,FALSE)</f>
        <v>Flight Systems Engineering</v>
      </c>
      <c r="C30" s="295">
        <v>401411</v>
      </c>
      <c r="D30" s="294" t="s">
        <v>1354</v>
      </c>
      <c r="E30" s="53"/>
      <c r="F30" s="44"/>
      <c r="G30" s="37" t="s">
        <v>1355</v>
      </c>
      <c r="H30" s="36" t="s">
        <v>1356</v>
      </c>
      <c r="I30" s="288"/>
      <c r="J30" s="283">
        <v>0</v>
      </c>
      <c r="L30" s="284">
        <f t="shared" si="21"/>
        <v>0</v>
      </c>
      <c r="M30" s="284">
        <f t="shared" si="21"/>
        <v>0</v>
      </c>
      <c r="N30" s="29"/>
      <c r="O30" s="28"/>
      <c r="P30" s="28"/>
      <c r="Q30" s="28"/>
      <c r="R30" s="28"/>
      <c r="S30" s="28"/>
      <c r="T30" s="28"/>
      <c r="U30" s="28"/>
      <c r="V30" s="28"/>
      <c r="W30" s="28"/>
      <c r="X30" s="104">
        <f t="shared" si="1"/>
        <v>0</v>
      </c>
      <c r="Z30" s="119">
        <f t="shared" si="22"/>
        <v>0</v>
      </c>
      <c r="AA30" s="119">
        <f t="shared" si="23"/>
        <v>0</v>
      </c>
      <c r="AB30" s="29"/>
      <c r="AC30" s="28"/>
      <c r="AD30" s="28"/>
      <c r="AE30" s="28"/>
      <c r="AF30" s="28"/>
      <c r="AG30" s="28"/>
      <c r="AH30" s="28"/>
      <c r="AI30" s="28"/>
      <c r="AJ30" s="28"/>
      <c r="AK30" s="28"/>
      <c r="AL30" s="297">
        <f t="shared" si="11"/>
        <v>0</v>
      </c>
    </row>
    <row r="31" spans="1:38">
      <c r="A31" t="s">
        <v>120</v>
      </c>
      <c r="B31" t="str">
        <f>VLOOKUP(A31,'Price Table 8 RUAG'!A:B,2,FALSE)</f>
        <v>Flight Systems Engineering</v>
      </c>
      <c r="C31" s="295">
        <v>401411</v>
      </c>
      <c r="D31" s="294" t="s">
        <v>1346</v>
      </c>
      <c r="E31" s="53"/>
      <c r="F31" s="44"/>
      <c r="G31" s="37" t="s">
        <v>1346</v>
      </c>
      <c r="H31" s="36" t="s">
        <v>1346</v>
      </c>
      <c r="I31" s="288"/>
      <c r="J31" s="283">
        <v>5416</v>
      </c>
      <c r="L31" s="284">
        <f t="shared" si="21"/>
        <v>2708</v>
      </c>
      <c r="M31" s="284">
        <f t="shared" si="21"/>
        <v>2708</v>
      </c>
      <c r="N31" s="29"/>
      <c r="O31" s="28"/>
      <c r="P31" s="28"/>
      <c r="Q31" s="28"/>
      <c r="R31" s="28"/>
      <c r="S31" s="28"/>
      <c r="T31" s="28"/>
      <c r="U31" s="28"/>
      <c r="V31" s="28"/>
      <c r="W31" s="28"/>
      <c r="X31" s="104">
        <f t="shared" si="1"/>
        <v>5416</v>
      </c>
      <c r="Z31" s="119">
        <f t="shared" si="22"/>
        <v>2.3547826086956523</v>
      </c>
      <c r="AA31" s="119">
        <f t="shared" si="23"/>
        <v>2.3547826086956523</v>
      </c>
      <c r="AB31" s="29"/>
      <c r="AC31" s="28"/>
      <c r="AD31" s="28"/>
      <c r="AE31" s="28"/>
      <c r="AF31" s="28"/>
      <c r="AG31" s="28"/>
      <c r="AH31" s="28"/>
      <c r="AI31" s="28"/>
      <c r="AJ31" s="28"/>
      <c r="AK31" s="28"/>
      <c r="AL31" s="297">
        <f t="shared" si="11"/>
        <v>4.7095652173913045</v>
      </c>
    </row>
    <row r="32" spans="1:38">
      <c r="A32" t="s">
        <v>120</v>
      </c>
      <c r="B32" t="str">
        <f>VLOOKUP(A32,'Price Table 8 RUAG'!A:B,2,FALSE)</f>
        <v>Flight Systems Engineering</v>
      </c>
      <c r="C32" s="295">
        <v>401411</v>
      </c>
      <c r="D32" s="294" t="s">
        <v>1347</v>
      </c>
      <c r="E32" s="53"/>
      <c r="F32" s="44"/>
      <c r="G32" s="36" t="s">
        <v>1348</v>
      </c>
      <c r="H32" s="36" t="s">
        <v>1173</v>
      </c>
      <c r="I32" s="288"/>
      <c r="J32" s="283">
        <v>1097</v>
      </c>
      <c r="L32" s="284">
        <f t="shared" si="21"/>
        <v>548.5</v>
      </c>
      <c r="M32" s="284">
        <f t="shared" si="21"/>
        <v>548.5</v>
      </c>
      <c r="N32" s="29"/>
      <c r="O32" s="28"/>
      <c r="P32" s="28"/>
      <c r="Q32" s="28"/>
      <c r="R32" s="28"/>
      <c r="S32" s="28"/>
      <c r="T32" s="28"/>
      <c r="U32" s="28"/>
      <c r="V32" s="28"/>
      <c r="W32" s="28"/>
      <c r="X32" s="104">
        <f t="shared" si="1"/>
        <v>1097</v>
      </c>
      <c r="Z32" s="119">
        <f t="shared" si="22"/>
        <v>0.4769565217391305</v>
      </c>
      <c r="AA32" s="119">
        <f t="shared" si="23"/>
        <v>0.4769565217391305</v>
      </c>
      <c r="AB32" s="29"/>
      <c r="AC32" s="28"/>
      <c r="AD32" s="28"/>
      <c r="AE32" s="28"/>
      <c r="AF32" s="28"/>
      <c r="AG32" s="28"/>
      <c r="AH32" s="28"/>
      <c r="AI32" s="28"/>
      <c r="AJ32" s="28"/>
      <c r="AK32" s="28"/>
      <c r="AL32" s="297">
        <f t="shared" si="11"/>
        <v>0.953913043478261</v>
      </c>
    </row>
    <row r="33" spans="1:38" s="16" customFormat="1">
      <c r="C33" s="295"/>
      <c r="D33" s="45"/>
      <c r="E33" s="55"/>
      <c r="F33" s="56" t="s">
        <v>1349</v>
      </c>
      <c r="G33" s="57"/>
      <c r="H33" s="57"/>
      <c r="I33" s="285">
        <v>64532</v>
      </c>
      <c r="J33" s="286">
        <v>74212</v>
      </c>
      <c r="L33" s="29"/>
      <c r="M33" s="29"/>
      <c r="N33" s="29"/>
      <c r="O33" s="29"/>
      <c r="P33" s="29"/>
      <c r="Q33" s="29"/>
      <c r="R33" s="29"/>
      <c r="S33" s="29"/>
      <c r="T33" s="29"/>
      <c r="U33" s="29"/>
      <c r="V33" s="29"/>
      <c r="W33" s="29"/>
      <c r="X33" s="104">
        <f t="shared" si="1"/>
        <v>0</v>
      </c>
      <c r="Z33" s="29"/>
      <c r="AA33" s="29"/>
      <c r="AB33" s="29"/>
      <c r="AC33" s="29"/>
      <c r="AD33" s="29"/>
      <c r="AE33" s="29"/>
      <c r="AF33" s="29"/>
      <c r="AG33" s="29"/>
      <c r="AH33" s="29"/>
      <c r="AI33" s="29"/>
      <c r="AJ33" s="29"/>
      <c r="AK33" s="29"/>
      <c r="AL33" s="297">
        <f t="shared" si="11"/>
        <v>0</v>
      </c>
    </row>
    <row r="34" spans="1:38">
      <c r="C34" s="295"/>
      <c r="D34" s="277" t="s">
        <v>1363</v>
      </c>
      <c r="E34" s="278"/>
      <c r="F34" s="279"/>
      <c r="G34" s="280">
        <v>44032</v>
      </c>
      <c r="H34" s="280">
        <v>44704</v>
      </c>
      <c r="I34" s="277" t="s">
        <v>1364</v>
      </c>
      <c r="J34" s="281" t="s">
        <v>1345</v>
      </c>
      <c r="L34" s="28"/>
      <c r="M34" s="28"/>
      <c r="N34" s="282"/>
      <c r="O34" s="282"/>
      <c r="P34" s="282"/>
      <c r="Q34" s="282"/>
      <c r="R34" s="282"/>
      <c r="S34" s="282"/>
      <c r="T34" s="282"/>
      <c r="U34" s="282"/>
      <c r="V34" s="28"/>
      <c r="W34" s="28"/>
      <c r="X34" s="104">
        <f t="shared" si="1"/>
        <v>0</v>
      </c>
      <c r="Z34" s="28"/>
      <c r="AA34" s="28"/>
      <c r="AB34" s="282"/>
      <c r="AC34" s="282"/>
      <c r="AD34" s="282"/>
      <c r="AE34" s="282"/>
      <c r="AF34" s="282"/>
      <c r="AG34" s="282"/>
      <c r="AH34" s="282"/>
      <c r="AI34" s="282"/>
      <c r="AJ34" s="28"/>
      <c r="AK34" s="28"/>
      <c r="AL34" s="297">
        <f t="shared" si="11"/>
        <v>0</v>
      </c>
    </row>
    <row r="35" spans="1:38">
      <c r="A35" t="s">
        <v>62</v>
      </c>
      <c r="B35" t="str">
        <f>VLOOKUP(A35,'Price Table 8 RUAG'!A:B,2,FALSE)</f>
        <v>(Project &amp; Mission) Engineering</v>
      </c>
      <c r="C35" s="295">
        <v>140410</v>
      </c>
      <c r="D35" s="294" t="s">
        <v>1360</v>
      </c>
      <c r="E35" s="53"/>
      <c r="F35" s="44"/>
      <c r="G35" s="37" t="s">
        <v>1353</v>
      </c>
      <c r="H35" s="36" t="s">
        <v>13</v>
      </c>
      <c r="J35" s="283">
        <v>84624</v>
      </c>
      <c r="L35" s="28">
        <v>0</v>
      </c>
      <c r="M35" s="28">
        <v>0</v>
      </c>
      <c r="N35" s="284">
        <f>$J35/8</f>
        <v>10578</v>
      </c>
      <c r="O35" s="284">
        <f t="shared" ref="O35:U35" si="24">$J35/8</f>
        <v>10578</v>
      </c>
      <c r="P35" s="284">
        <f t="shared" si="24"/>
        <v>10578</v>
      </c>
      <c r="Q35" s="284">
        <f t="shared" si="24"/>
        <v>10578</v>
      </c>
      <c r="R35" s="284">
        <f t="shared" si="24"/>
        <v>10578</v>
      </c>
      <c r="S35" s="284">
        <f t="shared" si="24"/>
        <v>10578</v>
      </c>
      <c r="T35" s="284">
        <f t="shared" si="24"/>
        <v>10578</v>
      </c>
      <c r="U35" s="284">
        <f t="shared" si="24"/>
        <v>10578</v>
      </c>
      <c r="V35" s="28"/>
      <c r="W35" s="28"/>
      <c r="X35" s="104">
        <f t="shared" si="1"/>
        <v>84624</v>
      </c>
      <c r="Z35" s="28"/>
      <c r="AA35" s="28"/>
      <c r="AB35" s="119">
        <f t="shared" ref="AB35:AB38" si="25">N35/$E$5/1000</f>
        <v>9.1982608695652175</v>
      </c>
      <c r="AC35" s="119">
        <f t="shared" ref="AC35:AC38" si="26">O35/$E$5/1000</f>
        <v>9.1982608695652175</v>
      </c>
      <c r="AD35" s="119">
        <f t="shared" ref="AD35:AD38" si="27">P35/$E$5/1000</f>
        <v>9.1982608695652175</v>
      </c>
      <c r="AE35" s="119">
        <f t="shared" ref="AE35:AE38" si="28">Q35/$E$5/1000</f>
        <v>9.1982608695652175</v>
      </c>
      <c r="AF35" s="119">
        <f t="shared" ref="AF35:AF38" si="29">R35/$E$5/1000</f>
        <v>9.1982608695652175</v>
      </c>
      <c r="AG35" s="119">
        <f t="shared" ref="AG35:AG38" si="30">S35/$E$5/1000</f>
        <v>9.1982608695652175</v>
      </c>
      <c r="AH35" s="119">
        <f t="shared" ref="AH35:AH38" si="31">T35/$E$5/1000</f>
        <v>9.1982608695652175</v>
      </c>
      <c r="AI35" s="119">
        <f t="shared" ref="AI35:AI38" si="32">U35/$E$5/1000</f>
        <v>9.1982608695652175</v>
      </c>
      <c r="AJ35" s="28"/>
      <c r="AK35" s="28"/>
      <c r="AL35" s="297">
        <f t="shared" si="11"/>
        <v>73.58608695652174</v>
      </c>
    </row>
    <row r="36" spans="1:38">
      <c r="A36" t="s">
        <v>62</v>
      </c>
      <c r="B36" t="str">
        <f>VLOOKUP(A36,'Price Table 8 RUAG'!A:B,2,FALSE)</f>
        <v>(Project &amp; Mission) Engineering</v>
      </c>
      <c r="C36" s="295">
        <v>140410</v>
      </c>
      <c r="D36" s="294" t="s">
        <v>1354</v>
      </c>
      <c r="E36" s="53"/>
      <c r="F36" s="44"/>
      <c r="G36" s="37" t="s">
        <v>1355</v>
      </c>
      <c r="H36" s="36" t="s">
        <v>1356</v>
      </c>
      <c r="J36" s="283">
        <v>0</v>
      </c>
      <c r="L36" s="28"/>
      <c r="M36" s="28"/>
      <c r="N36" s="284">
        <f t="shared" ref="N36:U38" si="33">$J36/8</f>
        <v>0</v>
      </c>
      <c r="O36" s="284">
        <f t="shared" si="33"/>
        <v>0</v>
      </c>
      <c r="P36" s="284">
        <f t="shared" si="33"/>
        <v>0</v>
      </c>
      <c r="Q36" s="284">
        <f t="shared" si="33"/>
        <v>0</v>
      </c>
      <c r="R36" s="284">
        <f t="shared" si="33"/>
        <v>0</v>
      </c>
      <c r="S36" s="284">
        <f t="shared" si="33"/>
        <v>0</v>
      </c>
      <c r="T36" s="284">
        <f t="shared" si="33"/>
        <v>0</v>
      </c>
      <c r="U36" s="284">
        <f t="shared" si="33"/>
        <v>0</v>
      </c>
      <c r="V36" s="28"/>
      <c r="W36" s="28"/>
      <c r="X36" s="104">
        <f t="shared" si="1"/>
        <v>0</v>
      </c>
      <c r="Z36" s="28"/>
      <c r="AA36" s="28"/>
      <c r="AB36" s="119">
        <f t="shared" si="25"/>
        <v>0</v>
      </c>
      <c r="AC36" s="119">
        <f t="shared" si="26"/>
        <v>0</v>
      </c>
      <c r="AD36" s="119">
        <f t="shared" si="27"/>
        <v>0</v>
      </c>
      <c r="AE36" s="119">
        <f t="shared" si="28"/>
        <v>0</v>
      </c>
      <c r="AF36" s="119">
        <f t="shared" si="29"/>
        <v>0</v>
      </c>
      <c r="AG36" s="119">
        <f t="shared" si="30"/>
        <v>0</v>
      </c>
      <c r="AH36" s="119">
        <f t="shared" si="31"/>
        <v>0</v>
      </c>
      <c r="AI36" s="119">
        <f t="shared" si="32"/>
        <v>0</v>
      </c>
      <c r="AJ36" s="28"/>
      <c r="AK36" s="28"/>
      <c r="AL36" s="297">
        <f t="shared" si="11"/>
        <v>0</v>
      </c>
    </row>
    <row r="37" spans="1:38">
      <c r="A37" t="s">
        <v>62</v>
      </c>
      <c r="B37" t="str">
        <f>VLOOKUP(A37,'Price Table 8 RUAG'!A:B,2,FALSE)</f>
        <v>(Project &amp; Mission) Engineering</v>
      </c>
      <c r="C37" s="295">
        <v>140410</v>
      </c>
      <c r="D37" s="294" t="s">
        <v>1346</v>
      </c>
      <c r="E37" s="53"/>
      <c r="F37" s="44"/>
      <c r="G37" s="37" t="s">
        <v>1346</v>
      </c>
      <c r="H37" s="36" t="s">
        <v>1346</v>
      </c>
      <c r="J37" s="283">
        <v>6770</v>
      </c>
      <c r="L37" s="28"/>
      <c r="M37" s="28"/>
      <c r="N37" s="284">
        <f t="shared" si="33"/>
        <v>846.25</v>
      </c>
      <c r="O37" s="284">
        <f t="shared" si="33"/>
        <v>846.25</v>
      </c>
      <c r="P37" s="284">
        <f t="shared" si="33"/>
        <v>846.25</v>
      </c>
      <c r="Q37" s="284">
        <f t="shared" si="33"/>
        <v>846.25</v>
      </c>
      <c r="R37" s="284">
        <f t="shared" si="33"/>
        <v>846.25</v>
      </c>
      <c r="S37" s="284">
        <f t="shared" si="33"/>
        <v>846.25</v>
      </c>
      <c r="T37" s="284">
        <f t="shared" si="33"/>
        <v>846.25</v>
      </c>
      <c r="U37" s="284">
        <f t="shared" si="33"/>
        <v>846.25</v>
      </c>
      <c r="V37" s="28"/>
      <c r="W37" s="28"/>
      <c r="X37" s="104">
        <f t="shared" si="1"/>
        <v>6770</v>
      </c>
      <c r="Z37" s="28"/>
      <c r="AA37" s="28"/>
      <c r="AB37" s="119">
        <f t="shared" si="25"/>
        <v>0.73586956521739133</v>
      </c>
      <c r="AC37" s="119">
        <f t="shared" si="26"/>
        <v>0.73586956521739133</v>
      </c>
      <c r="AD37" s="119">
        <f t="shared" si="27"/>
        <v>0.73586956521739133</v>
      </c>
      <c r="AE37" s="119">
        <f t="shared" si="28"/>
        <v>0.73586956521739133</v>
      </c>
      <c r="AF37" s="119">
        <f t="shared" si="29"/>
        <v>0.73586956521739133</v>
      </c>
      <c r="AG37" s="119">
        <f t="shared" si="30"/>
        <v>0.73586956521739133</v>
      </c>
      <c r="AH37" s="119">
        <f t="shared" si="31"/>
        <v>0.73586956521739133</v>
      </c>
      <c r="AI37" s="119">
        <f t="shared" si="32"/>
        <v>0.73586956521739133</v>
      </c>
      <c r="AJ37" s="28"/>
      <c r="AK37" s="28"/>
      <c r="AL37" s="297">
        <f t="shared" si="11"/>
        <v>5.8869565217391306</v>
      </c>
    </row>
    <row r="38" spans="1:38">
      <c r="A38" t="s">
        <v>62</v>
      </c>
      <c r="B38" t="str">
        <f>VLOOKUP(A38,'Price Table 8 RUAG'!A:B,2,FALSE)</f>
        <v>(Project &amp; Mission) Engineering</v>
      </c>
      <c r="C38" s="295">
        <v>140410</v>
      </c>
      <c r="D38" s="294" t="s">
        <v>1347</v>
      </c>
      <c r="E38" s="53"/>
      <c r="F38" s="44"/>
      <c r="G38" s="36" t="s">
        <v>1348</v>
      </c>
      <c r="H38" s="36" t="s">
        <v>1173</v>
      </c>
      <c r="J38" s="283">
        <v>1371</v>
      </c>
      <c r="L38" s="28"/>
      <c r="M38" s="28"/>
      <c r="N38" s="284">
        <f t="shared" si="33"/>
        <v>171.375</v>
      </c>
      <c r="O38" s="284">
        <f t="shared" si="33"/>
        <v>171.375</v>
      </c>
      <c r="P38" s="284">
        <f t="shared" si="33"/>
        <v>171.375</v>
      </c>
      <c r="Q38" s="284">
        <f t="shared" si="33"/>
        <v>171.375</v>
      </c>
      <c r="R38" s="284">
        <f t="shared" si="33"/>
        <v>171.375</v>
      </c>
      <c r="S38" s="284">
        <f t="shared" si="33"/>
        <v>171.375</v>
      </c>
      <c r="T38" s="284">
        <f t="shared" si="33"/>
        <v>171.375</v>
      </c>
      <c r="U38" s="284">
        <f t="shared" si="33"/>
        <v>171.375</v>
      </c>
      <c r="V38" s="28"/>
      <c r="W38" s="28"/>
      <c r="X38" s="104">
        <f t="shared" si="1"/>
        <v>1371</v>
      </c>
      <c r="Z38" s="28"/>
      <c r="AA38" s="28"/>
      <c r="AB38" s="119">
        <f t="shared" si="25"/>
        <v>0.14902173913043479</v>
      </c>
      <c r="AC38" s="119">
        <f t="shared" si="26"/>
        <v>0.14902173913043479</v>
      </c>
      <c r="AD38" s="119">
        <f t="shared" si="27"/>
        <v>0.14902173913043479</v>
      </c>
      <c r="AE38" s="119">
        <f t="shared" si="28"/>
        <v>0.14902173913043479</v>
      </c>
      <c r="AF38" s="119">
        <f t="shared" si="29"/>
        <v>0.14902173913043479</v>
      </c>
      <c r="AG38" s="119">
        <f t="shared" si="30"/>
        <v>0.14902173913043479</v>
      </c>
      <c r="AH38" s="119">
        <f t="shared" si="31"/>
        <v>0.14902173913043479</v>
      </c>
      <c r="AI38" s="119">
        <f t="shared" si="32"/>
        <v>0.14902173913043479</v>
      </c>
      <c r="AJ38" s="28"/>
      <c r="AK38" s="28"/>
      <c r="AL38" s="297">
        <f t="shared" si="11"/>
        <v>1.1921739130434783</v>
      </c>
    </row>
    <row r="39" spans="1:38" s="16" customFormat="1">
      <c r="C39" s="63"/>
      <c r="D39" s="45"/>
      <c r="E39" s="55"/>
      <c r="F39" s="56" t="s">
        <v>562</v>
      </c>
      <c r="G39" s="57"/>
      <c r="H39" s="57"/>
      <c r="I39" s="285">
        <v>80665</v>
      </c>
      <c r="J39" s="286">
        <v>92765</v>
      </c>
      <c r="X39" s="289"/>
      <c r="AL39" s="298"/>
    </row>
    <row r="40" spans="1:38">
      <c r="D40" s="20" t="s">
        <v>623</v>
      </c>
      <c r="E40" s="21"/>
      <c r="F40" s="22"/>
    </row>
    <row r="41" spans="1:38">
      <c r="D41" s="23"/>
      <c r="E41" s="5"/>
      <c r="F41" s="5"/>
      <c r="I41" s="290">
        <f>SUM(I39,I33,I27,I21,I15)</f>
        <v>541969</v>
      </c>
      <c r="J41" s="290">
        <f>SUM(J39,J33,J27,J21,J15)</f>
        <v>623264</v>
      </c>
      <c r="X41" s="289">
        <f>SUM(X12:X38)</f>
        <v>623266</v>
      </c>
      <c r="AL41" s="298">
        <f>SUM(AL12:AL38)</f>
        <v>541.97043478260878</v>
      </c>
    </row>
    <row r="42" spans="1:38">
      <c r="D42" s="12" t="s">
        <v>625</v>
      </c>
      <c r="E42" s="13"/>
      <c r="F42" s="14"/>
    </row>
    <row r="43" spans="1:38">
      <c r="D43" s="291" t="s">
        <v>626</v>
      </c>
      <c r="E43" s="19"/>
      <c r="F43" s="24"/>
      <c r="G43" s="37" t="s">
        <v>14</v>
      </c>
      <c r="H43" s="36" t="s">
        <v>13</v>
      </c>
    </row>
    <row r="44" spans="1:38">
      <c r="D44" s="292" t="s">
        <v>923</v>
      </c>
      <c r="E44" s="5"/>
      <c r="F44" s="15"/>
      <c r="G44" s="37" t="s">
        <v>14</v>
      </c>
      <c r="H44" s="36" t="s">
        <v>13</v>
      </c>
    </row>
    <row r="45" spans="1:38">
      <c r="D45" s="292" t="s">
        <v>629</v>
      </c>
      <c r="E45" s="5"/>
      <c r="F45" s="15"/>
      <c r="G45" s="36" t="s">
        <v>139</v>
      </c>
      <c r="H45" s="36" t="s">
        <v>13</v>
      </c>
      <c r="X45" s="293"/>
      <c r="AL45" s="299"/>
    </row>
    <row r="46" spans="1:38">
      <c r="D46" s="292" t="s">
        <v>630</v>
      </c>
      <c r="E46" s="5"/>
      <c r="F46" s="15"/>
      <c r="G46" s="37" t="s">
        <v>14</v>
      </c>
      <c r="H46" s="37" t="s">
        <v>117</v>
      </c>
      <c r="I46" s="37"/>
      <c r="J46" s="37"/>
      <c r="K46" s="18"/>
      <c r="L46" s="18"/>
      <c r="M46" s="18"/>
      <c r="N46" s="18"/>
      <c r="O46" s="18"/>
      <c r="P46" s="18"/>
      <c r="Q46" s="18"/>
      <c r="R46" s="18"/>
      <c r="S46" s="18"/>
      <c r="T46" s="18"/>
      <c r="U46" s="18"/>
      <c r="V46" s="18"/>
      <c r="W46" s="18"/>
      <c r="Z46" s="18"/>
      <c r="AA46" s="18"/>
      <c r="AB46" s="18"/>
      <c r="AC46" s="18"/>
      <c r="AD46" s="18"/>
      <c r="AE46" s="18"/>
      <c r="AF46" s="18"/>
      <c r="AG46" s="18"/>
      <c r="AH46" s="18"/>
      <c r="AI46" s="18"/>
      <c r="AJ46" s="18"/>
      <c r="AK46" s="18"/>
    </row>
    <row r="47" spans="1:38">
      <c r="D47" s="292" t="s">
        <v>1365</v>
      </c>
      <c r="E47" s="5"/>
      <c r="F47" s="15"/>
    </row>
    <row r="48" spans="1:38">
      <c r="D48" s="25" t="s">
        <v>465</v>
      </c>
      <c r="E48" s="26"/>
      <c r="F48" s="27"/>
    </row>
  </sheetData>
  <pageMargins left="0.7" right="0.7" top="0.75" bottom="0.75" header="0.3" footer="0.3"/>
  <pageSetup paperSize="9"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sheetPr>
  <dimension ref="A1:AI92"/>
  <sheetViews>
    <sheetView workbookViewId="0">
      <pane xSplit="9" ySplit="12" topLeftCell="AA79" activePane="bottomRight" state="frozen"/>
      <selection pane="topRight" activeCell="AZ351" sqref="AZ351"/>
      <selection pane="bottomLeft" activeCell="AZ351" sqref="AZ351"/>
      <selection pane="bottomRight" activeCell="AZ351" sqref="AZ351"/>
    </sheetView>
  </sheetViews>
  <sheetFormatPr defaultColWidth="8.85546875" defaultRowHeight="15"/>
  <cols>
    <col min="1" max="1" width="5.28515625" customWidth="1"/>
    <col min="2" max="2" width="31.42578125" customWidth="1"/>
    <col min="3" max="3" width="6.140625" customWidth="1"/>
    <col min="4" max="4" width="6.85546875" customWidth="1"/>
    <col min="5" max="5" width="8.85546875" style="36"/>
    <col min="6" max="6" width="12.42578125" style="36" bestFit="1" customWidth="1"/>
    <col min="7" max="7" width="12.42578125" style="36" customWidth="1"/>
    <col min="8" max="8" width="15.85546875" style="36" customWidth="1"/>
    <col min="9" max="9" width="12.42578125" bestFit="1" customWidth="1"/>
    <col min="18" max="18" width="6.85546875" customWidth="1"/>
    <col min="26" max="26" width="6.85546875" customWidth="1"/>
  </cols>
  <sheetData>
    <row r="1" spans="1:34" ht="18.75">
      <c r="A1" s="1" t="s">
        <v>528</v>
      </c>
    </row>
    <row r="5" spans="1:34">
      <c r="B5" s="4" t="s">
        <v>529</v>
      </c>
    </row>
    <row r="6" spans="1:34">
      <c r="B6" s="6" t="s">
        <v>530</v>
      </c>
      <c r="C6" s="7">
        <v>2019</v>
      </c>
    </row>
    <row r="7" spans="1:34">
      <c r="B7" s="6" t="s">
        <v>531</v>
      </c>
      <c r="C7" s="125" t="s">
        <v>532</v>
      </c>
      <c r="D7" s="626" t="s">
        <v>736</v>
      </c>
    </row>
    <row r="8" spans="1:34">
      <c r="I8" t="s">
        <v>533</v>
      </c>
      <c r="J8" s="2">
        <v>2020</v>
      </c>
      <c r="K8" s="2"/>
      <c r="L8" s="2"/>
      <c r="M8" s="2"/>
      <c r="N8" s="3">
        <v>2021</v>
      </c>
      <c r="O8" s="3"/>
      <c r="P8" s="3"/>
      <c r="Q8" s="3"/>
      <c r="R8" s="2">
        <v>2022</v>
      </c>
      <c r="S8" s="2"/>
      <c r="T8" s="2"/>
      <c r="U8" s="2"/>
      <c r="V8" s="3">
        <v>2023</v>
      </c>
      <c r="W8" s="3"/>
      <c r="X8" s="3"/>
      <c r="Y8" s="3"/>
      <c r="Z8" s="2">
        <v>2024</v>
      </c>
      <c r="AA8" s="2"/>
      <c r="AB8" s="2"/>
      <c r="AC8" s="2"/>
      <c r="AD8" s="3">
        <v>2025</v>
      </c>
      <c r="AE8" s="3"/>
      <c r="AF8" s="3"/>
      <c r="AG8" s="3"/>
      <c r="AH8" t="s">
        <v>534</v>
      </c>
    </row>
    <row r="9" spans="1:34">
      <c r="I9" t="s">
        <v>27</v>
      </c>
      <c r="J9" t="s">
        <v>536</v>
      </c>
      <c r="M9" t="s">
        <v>537</v>
      </c>
      <c r="S9" t="s">
        <v>538</v>
      </c>
    </row>
    <row r="10" spans="1:34">
      <c r="A10" t="s">
        <v>541</v>
      </c>
      <c r="B10" s="126" t="s">
        <v>542</v>
      </c>
      <c r="C10" s="127"/>
      <c r="D10" s="128"/>
      <c r="E10" s="36" t="s">
        <v>543</v>
      </c>
      <c r="F10" s="36" t="s">
        <v>544</v>
      </c>
      <c r="G10" s="36" t="s">
        <v>545</v>
      </c>
      <c r="H10" s="36" t="s">
        <v>546</v>
      </c>
      <c r="I10" t="s">
        <v>547</v>
      </c>
      <c r="J10" t="s">
        <v>548</v>
      </c>
      <c r="K10" t="s">
        <v>549</v>
      </c>
      <c r="L10" t="s">
        <v>550</v>
      </c>
      <c r="M10" t="s">
        <v>551</v>
      </c>
      <c r="N10" t="s">
        <v>548</v>
      </c>
      <c r="O10" t="s">
        <v>549</v>
      </c>
      <c r="P10" t="s">
        <v>550</v>
      </c>
      <c r="Q10" t="s">
        <v>551</v>
      </c>
      <c r="R10" t="s">
        <v>548</v>
      </c>
      <c r="S10" t="s">
        <v>549</v>
      </c>
      <c r="T10" t="s">
        <v>550</v>
      </c>
      <c r="U10" t="s">
        <v>551</v>
      </c>
      <c r="V10" t="s">
        <v>548</v>
      </c>
      <c r="W10" t="s">
        <v>549</v>
      </c>
      <c r="X10" t="s">
        <v>550</v>
      </c>
      <c r="Y10" t="s">
        <v>551</v>
      </c>
      <c r="Z10" t="s">
        <v>548</v>
      </c>
      <c r="AA10" t="s">
        <v>549</v>
      </c>
      <c r="AB10" t="s">
        <v>550</v>
      </c>
      <c r="AC10" t="s">
        <v>551</v>
      </c>
      <c r="AD10" t="s">
        <v>548</v>
      </c>
      <c r="AE10" t="s">
        <v>549</v>
      </c>
      <c r="AF10" t="s">
        <v>550</v>
      </c>
      <c r="AG10" t="s">
        <v>551</v>
      </c>
    </row>
    <row r="11" spans="1:34">
      <c r="B11" s="129" t="s">
        <v>552</v>
      </c>
      <c r="C11" s="130"/>
      <c r="D11" s="131"/>
      <c r="I11" t="s">
        <v>553</v>
      </c>
      <c r="J11" t="s">
        <v>554</v>
      </c>
      <c r="M11" t="s">
        <v>555</v>
      </c>
    </row>
    <row r="12" spans="1:34">
      <c r="B12" s="39" t="s">
        <v>556</v>
      </c>
      <c r="C12" s="40"/>
      <c r="D12" s="41"/>
      <c r="J12" s="8"/>
      <c r="K12" s="8"/>
      <c r="L12" s="8"/>
      <c r="M12" s="8"/>
    </row>
    <row r="13" spans="1:34">
      <c r="B13" s="42" t="s">
        <v>557</v>
      </c>
      <c r="C13" s="43"/>
      <c r="D13" s="44"/>
    </row>
    <row r="14" spans="1:34">
      <c r="A14" t="s">
        <v>32</v>
      </c>
      <c r="B14" s="42" t="s">
        <v>558</v>
      </c>
      <c r="C14" s="43"/>
      <c r="D14" s="44"/>
      <c r="E14" s="36" t="s">
        <v>12</v>
      </c>
      <c r="F14" s="36" t="s">
        <v>13</v>
      </c>
      <c r="G14" s="36" t="str">
        <f>CONCATENATE(E14,F14)</f>
        <v>MGTManpower</v>
      </c>
      <c r="H14" s="60">
        <v>110000</v>
      </c>
      <c r="J14" s="28"/>
      <c r="K14" s="123">
        <f>SUMIF(Syderal!$A:$A,'Price Table 8 Syderal'!$A14,Syderal!F:F)</f>
        <v>26.761061946902657</v>
      </c>
      <c r="L14" s="123">
        <f>SUMIF(Syderal!$A:$A,'Price Table 8 Syderal'!$A14,Syderal!G:G)</f>
        <v>26.761061946902657</v>
      </c>
      <c r="M14" s="123">
        <f>SUMIF(Syderal!$A:$A,'Price Table 8 Syderal'!$A14,Syderal!H:H)</f>
        <v>26.761061946902657</v>
      </c>
      <c r="N14" s="123">
        <f>SUMIF(Syderal!$A:$A,'Price Table 8 Syderal'!$A14,Syderal!I:I)</f>
        <v>26.761061946902657</v>
      </c>
      <c r="O14" s="123">
        <f>SUMIF(Syderal!$A:$A,'Price Table 8 Syderal'!$A14,Syderal!J:J)</f>
        <v>26.761061946902657</v>
      </c>
      <c r="P14" s="123">
        <f>SUMIF(Syderal!$A:$A,'Price Table 8 Syderal'!$A14,Syderal!K:K)</f>
        <v>26.761061946902657</v>
      </c>
      <c r="Q14" s="123">
        <f>SUMIF(Syderal!$A:$A,'Price Table 8 Syderal'!$A14,Syderal!L:L)</f>
        <v>26.761061946902657</v>
      </c>
      <c r="R14" s="123">
        <f>SUMIF(Syderal!$A:$A,'Price Table 8 Syderal'!$A14,Syderal!M:M)</f>
        <v>26.761061946902657</v>
      </c>
      <c r="S14" s="123">
        <f>SUMIF(Syderal!$A:$A,'Price Table 8 Syderal'!$A14,Syderal!N:N)</f>
        <v>26.761061946902657</v>
      </c>
      <c r="T14" s="123">
        <f>SUMIF(Syderal!$A:$A,'Price Table 8 Syderal'!$A14,Syderal!O:O)</f>
        <v>26.761061946902657</v>
      </c>
      <c r="U14" s="123">
        <f>SUMIF(Syderal!$A:$A,'Price Table 8 Syderal'!$A14,Syderal!P:P)</f>
        <v>26.761061946902657</v>
      </c>
      <c r="V14" s="123">
        <f>SUMIF(Syderal!$A:$A,'Price Table 8 Syderal'!$A14,Syderal!Q:Q)</f>
        <v>26.761061946902657</v>
      </c>
      <c r="W14" s="123"/>
      <c r="X14" s="123"/>
      <c r="Y14" s="28"/>
      <c r="Z14" s="28"/>
      <c r="AA14" s="28"/>
      <c r="AB14" s="28"/>
      <c r="AC14" s="28"/>
      <c r="AD14" s="28"/>
      <c r="AE14" s="28"/>
      <c r="AF14" s="28"/>
      <c r="AG14" s="28"/>
      <c r="AH14">
        <f>SUM(J14:AG14)</f>
        <v>321.13274336283189</v>
      </c>
    </row>
    <row r="15" spans="1:34">
      <c r="A15" t="s">
        <v>76</v>
      </c>
      <c r="B15" s="42" t="s">
        <v>559</v>
      </c>
      <c r="C15" s="43"/>
      <c r="D15" s="44"/>
      <c r="E15" s="36" t="s">
        <v>12</v>
      </c>
      <c r="F15" s="36" t="s">
        <v>13</v>
      </c>
      <c r="G15" s="36" t="str">
        <f>CONCATENATE(E15,F15)</f>
        <v>MGTManpower</v>
      </c>
      <c r="H15" s="16">
        <v>130000</v>
      </c>
      <c r="J15" s="28"/>
      <c r="K15" s="123">
        <f>SUMIF(Syderal!$A:$A,'Price Table 8 Syderal'!$A15,Syderal!F:F)</f>
        <v>16.742389380530977</v>
      </c>
      <c r="L15" s="123">
        <f>SUMIF(Syderal!$A:$A,'Price Table 8 Syderal'!$A15,Syderal!G:G)</f>
        <v>16.742389380530977</v>
      </c>
      <c r="M15" s="123">
        <f>SUMIF(Syderal!$A:$A,'Price Table 8 Syderal'!$A15,Syderal!H:H)</f>
        <v>16.742389380530977</v>
      </c>
      <c r="N15" s="123">
        <f>SUMIF(Syderal!$A:$A,'Price Table 8 Syderal'!$A15,Syderal!I:I)</f>
        <v>16.742389380530977</v>
      </c>
      <c r="O15" s="123">
        <f>SUMIF(Syderal!$A:$A,'Price Table 8 Syderal'!$A15,Syderal!J:J)</f>
        <v>16.742389380530977</v>
      </c>
      <c r="P15" s="123">
        <f>SUMIF(Syderal!$A:$A,'Price Table 8 Syderal'!$A15,Syderal!K:K)</f>
        <v>16.742389380530977</v>
      </c>
      <c r="Q15" s="123">
        <f>SUMIF(Syderal!$A:$A,'Price Table 8 Syderal'!$A15,Syderal!L:L)</f>
        <v>16.742389380530977</v>
      </c>
      <c r="R15" s="123">
        <f>SUMIF(Syderal!$A:$A,'Price Table 8 Syderal'!$A15,Syderal!M:M)</f>
        <v>16.742389380530977</v>
      </c>
      <c r="S15" s="123">
        <f>SUMIF(Syderal!$A:$A,'Price Table 8 Syderal'!$A15,Syderal!N:N)</f>
        <v>16.742389380530977</v>
      </c>
      <c r="T15" s="123">
        <f>SUMIF(Syderal!$A:$A,'Price Table 8 Syderal'!$A15,Syderal!O:O)</f>
        <v>16.742389380530977</v>
      </c>
      <c r="U15" s="123">
        <f>SUMIF(Syderal!$A:$A,'Price Table 8 Syderal'!$A15,Syderal!P:P)</f>
        <v>16.742389380530977</v>
      </c>
      <c r="V15" s="123">
        <f>SUMIF(Syderal!$A:$A,'Price Table 8 Syderal'!$A15,Syderal!Q:Q)</f>
        <v>16.742389380530977</v>
      </c>
      <c r="W15" s="123"/>
      <c r="X15" s="123"/>
      <c r="Y15" s="29"/>
      <c r="Z15" s="28"/>
      <c r="AA15" s="28"/>
      <c r="AB15" s="28"/>
      <c r="AC15" s="28"/>
      <c r="AD15" s="28"/>
      <c r="AE15" s="28"/>
      <c r="AF15" s="28"/>
      <c r="AG15" s="28"/>
      <c r="AH15">
        <f t="shared" ref="AH15:AH78" si="0">SUM(J15:AG15)</f>
        <v>200.90867256637168</v>
      </c>
    </row>
    <row r="16" spans="1:34">
      <c r="A16" t="s">
        <v>62</v>
      </c>
      <c r="B16" s="42" t="s">
        <v>560</v>
      </c>
      <c r="C16" s="43"/>
      <c r="D16" s="44"/>
      <c r="E16" s="36" t="s">
        <v>14</v>
      </c>
      <c r="F16" s="36" t="s">
        <v>13</v>
      </c>
      <c r="G16" s="36" t="str">
        <f>CONCATENATE(E16,F16)</f>
        <v>MISSIONManpower</v>
      </c>
      <c r="H16" s="16" t="s">
        <v>561</v>
      </c>
      <c r="J16" s="30"/>
      <c r="K16" s="123">
        <f>SUMIF(Syderal!$A:$A,'Price Table 8 Syderal'!$A16,Syderal!F:F)</f>
        <v>0</v>
      </c>
      <c r="L16" s="123">
        <f>SUMIF(Syderal!$A:$A,'Price Table 8 Syderal'!$A16,Syderal!G:G)</f>
        <v>0</v>
      </c>
      <c r="M16" s="123">
        <f>SUMIF(Syderal!$A:$A,'Price Table 8 Syderal'!$A16,Syderal!H:H)</f>
        <v>0</v>
      </c>
      <c r="N16" s="123">
        <f>SUMIF(Syderal!$A:$A,'Price Table 8 Syderal'!$A16,Syderal!I:I)</f>
        <v>0</v>
      </c>
      <c r="O16" s="123">
        <f>SUMIF(Syderal!$A:$A,'Price Table 8 Syderal'!$A16,Syderal!J:J)</f>
        <v>0</v>
      </c>
      <c r="P16" s="123">
        <f>SUMIF(Syderal!$A:$A,'Price Table 8 Syderal'!$A16,Syderal!K:K)</f>
        <v>0</v>
      </c>
      <c r="Q16" s="123">
        <f>SUMIF(Syderal!$A:$A,'Price Table 8 Syderal'!$A16,Syderal!L:L)</f>
        <v>0</v>
      </c>
      <c r="R16" s="123">
        <f>SUMIF(Syderal!$A:$A,'Price Table 8 Syderal'!$A16,Syderal!M:M)</f>
        <v>0</v>
      </c>
      <c r="S16" s="123">
        <f>SUMIF(Syderal!$A:$A,'Price Table 8 Syderal'!$A16,Syderal!N:N)</f>
        <v>0</v>
      </c>
      <c r="T16" s="123">
        <f>SUMIF(Syderal!$A:$A,'Price Table 8 Syderal'!$A16,Syderal!O:O)</f>
        <v>0</v>
      </c>
      <c r="U16" s="123">
        <f>SUMIF(Syderal!$A:$A,'Price Table 8 Syderal'!$A16,Syderal!P:P)</f>
        <v>0</v>
      </c>
      <c r="V16" s="123">
        <f>SUMIF(Syderal!$A:$A,'Price Table 8 Syderal'!$A16,Syderal!Q:Q)</f>
        <v>0</v>
      </c>
      <c r="W16" s="123"/>
      <c r="X16" s="123"/>
      <c r="Y16" s="29"/>
      <c r="Z16" s="30"/>
      <c r="AA16" s="30"/>
      <c r="AB16" s="30"/>
      <c r="AC16" s="30"/>
      <c r="AD16" s="30"/>
      <c r="AE16" s="30"/>
      <c r="AF16" s="30"/>
      <c r="AG16" s="30"/>
      <c r="AH16">
        <f t="shared" si="0"/>
        <v>0</v>
      </c>
    </row>
    <row r="17" spans="1:34" s="16" customFormat="1">
      <c r="B17" s="45"/>
      <c r="C17" s="55"/>
      <c r="D17" s="56" t="s">
        <v>562</v>
      </c>
      <c r="E17" s="57"/>
      <c r="F17" s="57"/>
      <c r="G17" s="57"/>
      <c r="H17" s="17"/>
      <c r="J17" s="29"/>
      <c r="K17" s="123">
        <f>SUMIF(Syderal!$A:$A,'Price Table 8 Syderal'!$A17,Syderal!F:F)</f>
        <v>0</v>
      </c>
      <c r="L17" s="123">
        <f>SUMIF(Syderal!$A:$A,'Price Table 8 Syderal'!$A17,Syderal!G:G)</f>
        <v>0</v>
      </c>
      <c r="M17" s="123">
        <f>SUMIF(Syderal!$A:$A,'Price Table 8 Syderal'!$A17,Syderal!H:H)</f>
        <v>0</v>
      </c>
      <c r="N17" s="123">
        <f>SUMIF(Syderal!$A:$A,'Price Table 8 Syderal'!$A17,Syderal!I:I)</f>
        <v>0</v>
      </c>
      <c r="O17" s="123">
        <f>SUMIF(Syderal!$A:$A,'Price Table 8 Syderal'!$A17,Syderal!J:J)</f>
        <v>0</v>
      </c>
      <c r="P17" s="123">
        <f>SUMIF(Syderal!$A:$A,'Price Table 8 Syderal'!$A17,Syderal!K:K)</f>
        <v>0</v>
      </c>
      <c r="Q17" s="123">
        <f>SUMIF(Syderal!$A:$A,'Price Table 8 Syderal'!$A17,Syderal!L:L)</f>
        <v>0</v>
      </c>
      <c r="R17" s="123">
        <f>SUMIF(Syderal!$A:$A,'Price Table 8 Syderal'!$A17,Syderal!M:M)</f>
        <v>0</v>
      </c>
      <c r="S17" s="123">
        <f>SUMIF(Syderal!$A:$A,'Price Table 8 Syderal'!$A17,Syderal!N:N)</f>
        <v>0</v>
      </c>
      <c r="T17" s="123">
        <f>SUMIF(Syderal!$A:$A,'Price Table 8 Syderal'!$A17,Syderal!O:O)</f>
        <v>0</v>
      </c>
      <c r="U17" s="123">
        <f>SUMIF(Syderal!$A:$A,'Price Table 8 Syderal'!$A17,Syderal!P:P)</f>
        <v>0</v>
      </c>
      <c r="V17" s="123">
        <f>SUMIF(Syderal!$A:$A,'Price Table 8 Syderal'!$A17,Syderal!Q:Q)</f>
        <v>0</v>
      </c>
      <c r="W17" s="123"/>
      <c r="X17" s="123"/>
      <c r="Y17" s="58"/>
      <c r="Z17" s="29"/>
      <c r="AA17" s="29"/>
      <c r="AB17" s="29"/>
      <c r="AC17" s="29"/>
      <c r="AD17" s="29"/>
      <c r="AE17" s="29"/>
      <c r="AF17" s="29"/>
      <c r="AG17" s="29"/>
      <c r="AH17">
        <f t="shared" si="0"/>
        <v>0</v>
      </c>
    </row>
    <row r="18" spans="1:34">
      <c r="A18" t="s">
        <v>120</v>
      </c>
      <c r="B18" s="42" t="s">
        <v>563</v>
      </c>
      <c r="C18" s="43"/>
      <c r="D18" s="44"/>
      <c r="E18" s="36" t="s">
        <v>14</v>
      </c>
      <c r="F18" s="36" t="s">
        <v>13</v>
      </c>
      <c r="G18" s="36" t="str">
        <f>CONCATENATE(E18,F18)</f>
        <v>MISSIONManpower</v>
      </c>
      <c r="H18" s="60">
        <v>401000</v>
      </c>
      <c r="I18" s="65" t="s">
        <v>564</v>
      </c>
      <c r="J18" s="29"/>
      <c r="K18" s="123">
        <f>SUMIF(Syderal!$A:$A,'Price Table 8 Syderal'!$A18,Syderal!F:F)</f>
        <v>0</v>
      </c>
      <c r="L18" s="123">
        <f>SUMIF(Syderal!$A:$A,'Price Table 8 Syderal'!$A18,Syderal!G:G)</f>
        <v>0</v>
      </c>
      <c r="M18" s="123">
        <f>SUMIF(Syderal!$A:$A,'Price Table 8 Syderal'!$A18,Syderal!H:H)</f>
        <v>0</v>
      </c>
      <c r="N18" s="123">
        <f>SUMIF(Syderal!$A:$A,'Price Table 8 Syderal'!$A18,Syderal!I:I)</f>
        <v>0</v>
      </c>
      <c r="O18" s="123">
        <f>SUMIF(Syderal!$A:$A,'Price Table 8 Syderal'!$A18,Syderal!J:J)</f>
        <v>0</v>
      </c>
      <c r="P18" s="123">
        <f>SUMIF(Syderal!$A:$A,'Price Table 8 Syderal'!$A18,Syderal!K:K)</f>
        <v>0</v>
      </c>
      <c r="Q18" s="123">
        <f>SUMIF(Syderal!$A:$A,'Price Table 8 Syderal'!$A18,Syderal!L:L)</f>
        <v>0</v>
      </c>
      <c r="R18" s="123">
        <f>SUMIF(Syderal!$A:$A,'Price Table 8 Syderal'!$A18,Syderal!M:M)</f>
        <v>0</v>
      </c>
      <c r="S18" s="123">
        <f>SUMIF(Syderal!$A:$A,'Price Table 8 Syderal'!$A18,Syderal!N:N)</f>
        <v>0</v>
      </c>
      <c r="T18" s="123">
        <f>SUMIF(Syderal!$A:$A,'Price Table 8 Syderal'!$A18,Syderal!O:O)</f>
        <v>0</v>
      </c>
      <c r="U18" s="123">
        <f>SUMIF(Syderal!$A:$A,'Price Table 8 Syderal'!$A18,Syderal!P:P)</f>
        <v>0</v>
      </c>
      <c r="V18" s="123">
        <f>SUMIF(Syderal!$A:$A,'Price Table 8 Syderal'!$A18,Syderal!Q:Q)</f>
        <v>0</v>
      </c>
      <c r="W18" s="123"/>
      <c r="X18" s="123"/>
      <c r="Y18" s="30"/>
      <c r="Z18" s="29"/>
      <c r="AA18" s="29"/>
      <c r="AB18" s="29"/>
      <c r="AC18" s="29"/>
      <c r="AD18" s="29"/>
      <c r="AE18" s="29"/>
      <c r="AF18" s="29"/>
      <c r="AG18" s="29"/>
      <c r="AH18">
        <f t="shared" si="0"/>
        <v>0</v>
      </c>
    </row>
    <row r="19" spans="1:34">
      <c r="A19" t="s">
        <v>351</v>
      </c>
      <c r="B19" s="42" t="s">
        <v>565</v>
      </c>
      <c r="C19" s="43"/>
      <c r="D19" s="44"/>
      <c r="E19" s="36" t="s">
        <v>14</v>
      </c>
      <c r="F19" s="36" t="s">
        <v>13</v>
      </c>
      <c r="G19" s="36" t="str">
        <f>CONCATENATE(E19,F19)</f>
        <v>MISSIONManpower</v>
      </c>
      <c r="H19" s="60" t="s">
        <v>638</v>
      </c>
      <c r="I19" t="s">
        <v>567</v>
      </c>
      <c r="J19" s="28"/>
      <c r="K19" s="123">
        <f>SUMIF(Syderal!$A:$A,'Price Table 8 Syderal'!$A19,Syderal!F:F)</f>
        <v>0</v>
      </c>
      <c r="L19" s="123">
        <f>SUMIF(Syderal!$A:$A,'Price Table 8 Syderal'!$A19,Syderal!G:G)</f>
        <v>0</v>
      </c>
      <c r="M19" s="123">
        <f>SUMIF(Syderal!$A:$A,'Price Table 8 Syderal'!$A19,Syderal!H:H)</f>
        <v>0</v>
      </c>
      <c r="N19" s="123">
        <f>SUMIF(Syderal!$A:$A,'Price Table 8 Syderal'!$A19,Syderal!I:I)</f>
        <v>0</v>
      </c>
      <c r="O19" s="123">
        <f>SUMIF(Syderal!$A:$A,'Price Table 8 Syderal'!$A19,Syderal!J:J)</f>
        <v>0</v>
      </c>
      <c r="P19" s="123">
        <f>SUMIF(Syderal!$A:$A,'Price Table 8 Syderal'!$A19,Syderal!K:K)</f>
        <v>0</v>
      </c>
      <c r="Q19" s="123">
        <f>SUMIF(Syderal!$A:$A,'Price Table 8 Syderal'!$A19,Syderal!L:L)</f>
        <v>0</v>
      </c>
      <c r="R19" s="123">
        <f>SUMIF(Syderal!$A:$A,'Price Table 8 Syderal'!$A19,Syderal!M:M)</f>
        <v>0</v>
      </c>
      <c r="S19" s="123">
        <f>SUMIF(Syderal!$A:$A,'Price Table 8 Syderal'!$A19,Syderal!N:N)</f>
        <v>0</v>
      </c>
      <c r="T19" s="123">
        <f>SUMIF(Syderal!$A:$A,'Price Table 8 Syderal'!$A19,Syderal!O:O)</f>
        <v>0</v>
      </c>
      <c r="U19" s="123">
        <f>SUMIF(Syderal!$A:$A,'Price Table 8 Syderal'!$A19,Syderal!P:P)</f>
        <v>0</v>
      </c>
      <c r="V19" s="123">
        <f>SUMIF(Syderal!$A:$A,'Price Table 8 Syderal'!$A19,Syderal!Q:Q)</f>
        <v>0</v>
      </c>
      <c r="W19" s="123"/>
      <c r="X19" s="123"/>
      <c r="Y19" s="30"/>
      <c r="Z19" s="28"/>
      <c r="AA19" s="28"/>
      <c r="AB19" s="28"/>
      <c r="AC19" s="28"/>
      <c r="AD19" s="28"/>
      <c r="AE19" s="28"/>
      <c r="AF19" s="28"/>
      <c r="AG19" s="28"/>
      <c r="AH19">
        <f t="shared" si="0"/>
        <v>0</v>
      </c>
    </row>
    <row r="20" spans="1:34">
      <c r="A20" t="s">
        <v>356</v>
      </c>
      <c r="B20" s="42" t="s">
        <v>568</v>
      </c>
      <c r="C20" s="43"/>
      <c r="D20" s="44"/>
      <c r="E20" s="36" t="s">
        <v>14</v>
      </c>
      <c r="F20" s="36" t="s">
        <v>117</v>
      </c>
      <c r="G20" s="36" t="str">
        <f>CONCATENATE(E20,F20)</f>
        <v>MISSIONProcurement</v>
      </c>
      <c r="H20" s="60">
        <v>510000</v>
      </c>
      <c r="I20" t="s">
        <v>569</v>
      </c>
      <c r="J20" s="28"/>
      <c r="K20" s="123">
        <f>SUMIF(Syderal!$A:$A,'Price Table 8 Syderal'!$A20,Syderal!F:F)</f>
        <v>0</v>
      </c>
      <c r="L20" s="123">
        <f>SUMIF(Syderal!$A:$A,'Price Table 8 Syderal'!$A20,Syderal!G:G)</f>
        <v>0</v>
      </c>
      <c r="M20" s="123">
        <f>SUMIF(Syderal!$A:$A,'Price Table 8 Syderal'!$A20,Syderal!H:H)</f>
        <v>0</v>
      </c>
      <c r="N20" s="123">
        <f>SUMIF(Syderal!$A:$A,'Price Table 8 Syderal'!$A20,Syderal!I:I)</f>
        <v>0</v>
      </c>
      <c r="O20" s="123">
        <f>SUMIF(Syderal!$A:$A,'Price Table 8 Syderal'!$A20,Syderal!J:J)</f>
        <v>0</v>
      </c>
      <c r="P20" s="123">
        <f>SUMIF(Syderal!$A:$A,'Price Table 8 Syderal'!$A20,Syderal!K:K)</f>
        <v>0</v>
      </c>
      <c r="Q20" s="123">
        <f>SUMIF(Syderal!$A:$A,'Price Table 8 Syderal'!$A20,Syderal!L:L)</f>
        <v>0</v>
      </c>
      <c r="R20" s="123">
        <f>SUMIF(Syderal!$A:$A,'Price Table 8 Syderal'!$A20,Syderal!M:M)</f>
        <v>0</v>
      </c>
      <c r="S20" s="123">
        <f>SUMIF(Syderal!$A:$A,'Price Table 8 Syderal'!$A20,Syderal!N:N)</f>
        <v>0</v>
      </c>
      <c r="T20" s="123">
        <f>SUMIF(Syderal!$A:$A,'Price Table 8 Syderal'!$A20,Syderal!O:O)</f>
        <v>0</v>
      </c>
      <c r="U20" s="123">
        <f>SUMIF(Syderal!$A:$A,'Price Table 8 Syderal'!$A20,Syderal!P:P)</f>
        <v>0</v>
      </c>
      <c r="V20" s="123">
        <f>SUMIF(Syderal!$A:$A,'Price Table 8 Syderal'!$A20,Syderal!Q:Q)</f>
        <v>0</v>
      </c>
      <c r="W20" s="123"/>
      <c r="X20" s="123"/>
      <c r="Y20" s="30"/>
      <c r="Z20" s="28"/>
      <c r="AA20" s="28"/>
      <c r="AB20" s="28"/>
      <c r="AC20" s="28"/>
      <c r="AD20" s="28"/>
      <c r="AE20" s="28"/>
      <c r="AF20" s="28"/>
      <c r="AG20" s="28"/>
      <c r="AH20">
        <f t="shared" si="0"/>
        <v>0</v>
      </c>
    </row>
    <row r="21" spans="1:34" s="16" customFormat="1">
      <c r="B21" s="45"/>
      <c r="C21" s="55"/>
      <c r="D21" s="56" t="s">
        <v>562</v>
      </c>
      <c r="E21" s="57"/>
      <c r="F21" s="57"/>
      <c r="G21" s="57"/>
      <c r="H21" s="17"/>
      <c r="J21" s="29"/>
      <c r="K21" s="123">
        <f>SUMIF(Syderal!$A:$A,'Price Table 8 Syderal'!$A21,Syderal!F:F)</f>
        <v>0</v>
      </c>
      <c r="L21" s="123">
        <f>SUMIF(Syderal!$A:$A,'Price Table 8 Syderal'!$A21,Syderal!G:G)</f>
        <v>0</v>
      </c>
      <c r="M21" s="123">
        <f>SUMIF(Syderal!$A:$A,'Price Table 8 Syderal'!$A21,Syderal!H:H)</f>
        <v>0</v>
      </c>
      <c r="N21" s="123">
        <f>SUMIF(Syderal!$A:$A,'Price Table 8 Syderal'!$A21,Syderal!I:I)</f>
        <v>0</v>
      </c>
      <c r="O21" s="123">
        <f>SUMIF(Syderal!$A:$A,'Price Table 8 Syderal'!$A21,Syderal!J:J)</f>
        <v>0</v>
      </c>
      <c r="P21" s="123">
        <f>SUMIF(Syderal!$A:$A,'Price Table 8 Syderal'!$A21,Syderal!K:K)</f>
        <v>0</v>
      </c>
      <c r="Q21" s="123">
        <f>SUMIF(Syderal!$A:$A,'Price Table 8 Syderal'!$A21,Syderal!L:L)</f>
        <v>0</v>
      </c>
      <c r="R21" s="123">
        <f>SUMIF(Syderal!$A:$A,'Price Table 8 Syderal'!$A21,Syderal!M:M)</f>
        <v>0</v>
      </c>
      <c r="S21" s="123">
        <f>SUMIF(Syderal!$A:$A,'Price Table 8 Syderal'!$A21,Syderal!N:N)</f>
        <v>0</v>
      </c>
      <c r="T21" s="123">
        <f>SUMIF(Syderal!$A:$A,'Price Table 8 Syderal'!$A21,Syderal!O:O)</f>
        <v>0</v>
      </c>
      <c r="U21" s="123">
        <f>SUMIF(Syderal!$A:$A,'Price Table 8 Syderal'!$A21,Syderal!P:P)</f>
        <v>0</v>
      </c>
      <c r="V21" s="123">
        <f>SUMIF(Syderal!$A:$A,'Price Table 8 Syderal'!$A21,Syderal!Q:Q)</f>
        <v>0</v>
      </c>
      <c r="W21" s="123"/>
      <c r="X21" s="123"/>
      <c r="Y21" s="58"/>
      <c r="Z21" s="29"/>
      <c r="AA21" s="29"/>
      <c r="AB21" s="29"/>
      <c r="AC21" s="29"/>
      <c r="AD21" s="29"/>
      <c r="AE21" s="29"/>
      <c r="AF21" s="29"/>
      <c r="AG21" s="29"/>
      <c r="AH21">
        <f t="shared" si="0"/>
        <v>0</v>
      </c>
    </row>
    <row r="22" spans="1:34">
      <c r="B22" s="46" t="s">
        <v>570</v>
      </c>
      <c r="C22" s="47"/>
      <c r="D22" s="41"/>
      <c r="H22"/>
      <c r="J22" s="28"/>
      <c r="K22" s="123">
        <f>SUMIF(Syderal!$A:$A,'Price Table 8 Syderal'!$A22,Syderal!F:F)</f>
        <v>0</v>
      </c>
      <c r="L22" s="123">
        <f>SUMIF(Syderal!$A:$A,'Price Table 8 Syderal'!$A22,Syderal!G:G)</f>
        <v>0</v>
      </c>
      <c r="M22" s="123">
        <f>SUMIF(Syderal!$A:$A,'Price Table 8 Syderal'!$A22,Syderal!H:H)</f>
        <v>0</v>
      </c>
      <c r="N22" s="123">
        <f>SUMIF(Syderal!$A:$A,'Price Table 8 Syderal'!$A22,Syderal!I:I)</f>
        <v>0</v>
      </c>
      <c r="O22" s="123">
        <f>SUMIF(Syderal!$A:$A,'Price Table 8 Syderal'!$A22,Syderal!J:J)</f>
        <v>0</v>
      </c>
      <c r="P22" s="123">
        <f>SUMIF(Syderal!$A:$A,'Price Table 8 Syderal'!$A22,Syderal!K:K)</f>
        <v>0</v>
      </c>
      <c r="Q22" s="123">
        <f>SUMIF(Syderal!$A:$A,'Price Table 8 Syderal'!$A22,Syderal!L:L)</f>
        <v>0</v>
      </c>
      <c r="R22" s="123">
        <f>SUMIF(Syderal!$A:$A,'Price Table 8 Syderal'!$A22,Syderal!M:M)</f>
        <v>0</v>
      </c>
      <c r="S22" s="123">
        <f>SUMIF(Syderal!$A:$A,'Price Table 8 Syderal'!$A22,Syderal!N:N)</f>
        <v>0</v>
      </c>
      <c r="T22" s="123">
        <f>SUMIF(Syderal!$A:$A,'Price Table 8 Syderal'!$A22,Syderal!O:O)</f>
        <v>0</v>
      </c>
      <c r="U22" s="123">
        <f>SUMIF(Syderal!$A:$A,'Price Table 8 Syderal'!$A22,Syderal!P:P)</f>
        <v>0</v>
      </c>
      <c r="V22" s="123">
        <f>SUMIF(Syderal!$A:$A,'Price Table 8 Syderal'!$A22,Syderal!Q:Q)</f>
        <v>0</v>
      </c>
      <c r="W22" s="123"/>
      <c r="X22" s="123"/>
      <c r="Y22" s="28"/>
      <c r="Z22" s="28"/>
      <c r="AA22" s="28"/>
      <c r="AB22" s="28"/>
      <c r="AC22" s="28"/>
      <c r="AD22" s="28"/>
      <c r="AE22" s="28"/>
      <c r="AF22" s="28"/>
      <c r="AG22" s="28"/>
      <c r="AH22">
        <f t="shared" si="0"/>
        <v>0</v>
      </c>
    </row>
    <row r="23" spans="1:34">
      <c r="B23" s="48" t="s">
        <v>571</v>
      </c>
      <c r="C23" s="49"/>
      <c r="D23" s="50"/>
      <c r="H23"/>
      <c r="J23" s="28"/>
      <c r="K23" s="123">
        <f>SUMIF(Syderal!$A:$A,'Price Table 8 Syderal'!$A23,Syderal!F:F)</f>
        <v>0</v>
      </c>
      <c r="L23" s="123">
        <f>SUMIF(Syderal!$A:$A,'Price Table 8 Syderal'!$A23,Syderal!G:G)</f>
        <v>0</v>
      </c>
      <c r="M23" s="123">
        <f>SUMIF(Syderal!$A:$A,'Price Table 8 Syderal'!$A23,Syderal!H:H)</f>
        <v>0</v>
      </c>
      <c r="N23" s="123">
        <f>SUMIF(Syderal!$A:$A,'Price Table 8 Syderal'!$A23,Syderal!I:I)</f>
        <v>0</v>
      </c>
      <c r="O23" s="123">
        <f>SUMIF(Syderal!$A:$A,'Price Table 8 Syderal'!$A23,Syderal!J:J)</f>
        <v>0</v>
      </c>
      <c r="P23" s="123">
        <f>SUMIF(Syderal!$A:$A,'Price Table 8 Syderal'!$A23,Syderal!K:K)</f>
        <v>0</v>
      </c>
      <c r="Q23" s="123">
        <f>SUMIF(Syderal!$A:$A,'Price Table 8 Syderal'!$A23,Syderal!L:L)</f>
        <v>0</v>
      </c>
      <c r="R23" s="123">
        <f>SUMIF(Syderal!$A:$A,'Price Table 8 Syderal'!$A23,Syderal!M:M)</f>
        <v>0</v>
      </c>
      <c r="S23" s="123">
        <f>SUMIF(Syderal!$A:$A,'Price Table 8 Syderal'!$A23,Syderal!N:N)</f>
        <v>0</v>
      </c>
      <c r="T23" s="123">
        <f>SUMIF(Syderal!$A:$A,'Price Table 8 Syderal'!$A23,Syderal!O:O)</f>
        <v>0</v>
      </c>
      <c r="U23" s="123">
        <f>SUMIF(Syderal!$A:$A,'Price Table 8 Syderal'!$A23,Syderal!P:P)</f>
        <v>0</v>
      </c>
      <c r="V23" s="123">
        <f>SUMIF(Syderal!$A:$A,'Price Table 8 Syderal'!$A23,Syderal!Q:Q)</f>
        <v>0</v>
      </c>
      <c r="W23" s="123"/>
      <c r="X23" s="123"/>
      <c r="Y23" s="28"/>
      <c r="Z23" s="28"/>
      <c r="AA23" s="28"/>
      <c r="AB23" s="28"/>
      <c r="AC23" s="28"/>
      <c r="AD23" s="28"/>
      <c r="AE23" s="28"/>
      <c r="AF23" s="28"/>
      <c r="AG23" s="28"/>
      <c r="AH23">
        <f t="shared" si="0"/>
        <v>0</v>
      </c>
    </row>
    <row r="24" spans="1:34">
      <c r="A24" t="s">
        <v>160</v>
      </c>
      <c r="B24" s="51" t="s">
        <v>572</v>
      </c>
      <c r="C24" s="43"/>
      <c r="D24" s="44"/>
      <c r="E24" s="36" t="s">
        <v>139</v>
      </c>
      <c r="F24" s="36" t="s">
        <v>13</v>
      </c>
      <c r="G24" s="36" t="str">
        <f>CONCATENATE(E24,F24)</f>
        <v>TECHManpower</v>
      </c>
      <c r="H24" s="16">
        <v>410000</v>
      </c>
      <c r="J24" s="28"/>
      <c r="K24" s="123">
        <f>SUMIF(Syderal!$A:$A,'Price Table 8 Syderal'!$A24,Syderal!F:F)</f>
        <v>0</v>
      </c>
      <c r="L24" s="123">
        <f>SUMIF(Syderal!$A:$A,'Price Table 8 Syderal'!$A24,Syderal!G:G)</f>
        <v>0</v>
      </c>
      <c r="M24" s="123">
        <f>SUMIF(Syderal!$A:$A,'Price Table 8 Syderal'!$A24,Syderal!H:H)</f>
        <v>0</v>
      </c>
      <c r="N24" s="123">
        <f>SUMIF(Syderal!$A:$A,'Price Table 8 Syderal'!$A24,Syderal!I:I)</f>
        <v>0</v>
      </c>
      <c r="O24" s="123">
        <f>SUMIF(Syderal!$A:$A,'Price Table 8 Syderal'!$A24,Syderal!J:J)</f>
        <v>0</v>
      </c>
      <c r="P24" s="123">
        <f>SUMIF(Syderal!$A:$A,'Price Table 8 Syderal'!$A24,Syderal!K:K)</f>
        <v>0</v>
      </c>
      <c r="Q24" s="123">
        <f>SUMIF(Syderal!$A:$A,'Price Table 8 Syderal'!$A24,Syderal!L:L)</f>
        <v>0</v>
      </c>
      <c r="R24" s="123">
        <f>SUMIF(Syderal!$A:$A,'Price Table 8 Syderal'!$A24,Syderal!M:M)</f>
        <v>0</v>
      </c>
      <c r="S24" s="123">
        <f>SUMIF(Syderal!$A:$A,'Price Table 8 Syderal'!$A24,Syderal!N:N)</f>
        <v>0</v>
      </c>
      <c r="T24" s="123">
        <f>SUMIF(Syderal!$A:$A,'Price Table 8 Syderal'!$A24,Syderal!O:O)</f>
        <v>0</v>
      </c>
      <c r="U24" s="123">
        <f>SUMIF(Syderal!$A:$A,'Price Table 8 Syderal'!$A24,Syderal!P:P)</f>
        <v>0</v>
      </c>
      <c r="V24" s="123">
        <f>SUMIF(Syderal!$A:$A,'Price Table 8 Syderal'!$A24,Syderal!Q:Q)</f>
        <v>0</v>
      </c>
      <c r="W24" s="123"/>
      <c r="X24" s="123"/>
      <c r="Y24" s="29"/>
      <c r="Z24" s="28"/>
      <c r="AA24" s="28"/>
      <c r="AB24" s="28"/>
      <c r="AC24" s="28"/>
      <c r="AD24" s="28"/>
      <c r="AE24" s="28"/>
      <c r="AF24" s="28"/>
      <c r="AG24" s="28"/>
      <c r="AH24">
        <f t="shared" si="0"/>
        <v>0</v>
      </c>
    </row>
    <row r="25" spans="1:34">
      <c r="A25" t="s">
        <v>573</v>
      </c>
      <c r="B25" s="51" t="s">
        <v>574</v>
      </c>
      <c r="C25" s="43"/>
      <c r="D25" s="44"/>
      <c r="E25" s="36" t="s">
        <v>14</v>
      </c>
      <c r="F25" s="36" t="s">
        <v>13</v>
      </c>
      <c r="G25" s="36" t="str">
        <f>CONCATENATE(E25,F25)</f>
        <v>MISSIONManpower</v>
      </c>
      <c r="H25" s="70" t="s">
        <v>639</v>
      </c>
      <c r="J25" s="28"/>
      <c r="K25" s="123">
        <f>SUMIF(Syderal!$A:$A,'Price Table 8 Syderal'!$A25,Syderal!F:F)</f>
        <v>0</v>
      </c>
      <c r="L25" s="123">
        <f>SUMIF(Syderal!$A:$A,'Price Table 8 Syderal'!$A25,Syderal!G:G)</f>
        <v>0</v>
      </c>
      <c r="M25" s="123">
        <f>SUMIF(Syderal!$A:$A,'Price Table 8 Syderal'!$A25,Syderal!H:H)</f>
        <v>0</v>
      </c>
      <c r="N25" s="123">
        <f>SUMIF(Syderal!$A:$A,'Price Table 8 Syderal'!$A25,Syderal!I:I)</f>
        <v>0</v>
      </c>
      <c r="O25" s="123">
        <f>SUMIF(Syderal!$A:$A,'Price Table 8 Syderal'!$A25,Syderal!J:J)</f>
        <v>0</v>
      </c>
      <c r="P25" s="123">
        <f>SUMIF(Syderal!$A:$A,'Price Table 8 Syderal'!$A25,Syderal!K:K)</f>
        <v>0</v>
      </c>
      <c r="Q25" s="123">
        <f>SUMIF(Syderal!$A:$A,'Price Table 8 Syderal'!$A25,Syderal!L:L)</f>
        <v>0</v>
      </c>
      <c r="R25" s="123">
        <f>SUMIF(Syderal!$A:$A,'Price Table 8 Syderal'!$A25,Syderal!M:M)</f>
        <v>0</v>
      </c>
      <c r="S25" s="123">
        <f>SUMIF(Syderal!$A:$A,'Price Table 8 Syderal'!$A25,Syderal!N:N)</f>
        <v>0</v>
      </c>
      <c r="T25" s="123">
        <f>SUMIF(Syderal!$A:$A,'Price Table 8 Syderal'!$A25,Syderal!O:O)</f>
        <v>0</v>
      </c>
      <c r="U25" s="123">
        <f>SUMIF(Syderal!$A:$A,'Price Table 8 Syderal'!$A25,Syderal!P:P)</f>
        <v>0</v>
      </c>
      <c r="V25" s="123">
        <f>SUMIF(Syderal!$A:$A,'Price Table 8 Syderal'!$A25,Syderal!Q:Q)</f>
        <v>0</v>
      </c>
      <c r="W25" s="123"/>
      <c r="X25" s="123"/>
      <c r="Y25" s="31"/>
      <c r="Z25" s="28"/>
      <c r="AA25" s="28"/>
      <c r="AB25" s="28"/>
      <c r="AC25" s="28"/>
      <c r="AD25" s="28"/>
      <c r="AE25" s="28"/>
      <c r="AF25" s="28"/>
      <c r="AG25" s="28"/>
      <c r="AH25">
        <f t="shared" si="0"/>
        <v>0</v>
      </c>
    </row>
    <row r="26" spans="1:34" s="16" customFormat="1">
      <c r="B26" s="45"/>
      <c r="C26" s="55"/>
      <c r="D26" s="56" t="s">
        <v>562</v>
      </c>
      <c r="E26" s="57"/>
      <c r="F26" s="57"/>
      <c r="G26" s="57"/>
      <c r="H26" s="17"/>
      <c r="J26" s="29"/>
      <c r="K26" s="123">
        <f>SUMIF(Syderal!$A:$A,'Price Table 8 Syderal'!$A26,Syderal!F:F)</f>
        <v>0</v>
      </c>
      <c r="L26" s="123">
        <f>SUMIF(Syderal!$A:$A,'Price Table 8 Syderal'!$A26,Syderal!G:G)</f>
        <v>0</v>
      </c>
      <c r="M26" s="123">
        <f>SUMIF(Syderal!$A:$A,'Price Table 8 Syderal'!$A26,Syderal!H:H)</f>
        <v>0</v>
      </c>
      <c r="N26" s="123">
        <f>SUMIF(Syderal!$A:$A,'Price Table 8 Syderal'!$A26,Syderal!I:I)</f>
        <v>0</v>
      </c>
      <c r="O26" s="123">
        <f>SUMIF(Syderal!$A:$A,'Price Table 8 Syderal'!$A26,Syderal!J:J)</f>
        <v>0</v>
      </c>
      <c r="P26" s="123">
        <f>SUMIF(Syderal!$A:$A,'Price Table 8 Syderal'!$A26,Syderal!K:K)</f>
        <v>0</v>
      </c>
      <c r="Q26" s="123">
        <f>SUMIF(Syderal!$A:$A,'Price Table 8 Syderal'!$A26,Syderal!L:L)</f>
        <v>0</v>
      </c>
      <c r="R26" s="123">
        <f>SUMIF(Syderal!$A:$A,'Price Table 8 Syderal'!$A26,Syderal!M:M)</f>
        <v>0</v>
      </c>
      <c r="S26" s="123">
        <f>SUMIF(Syderal!$A:$A,'Price Table 8 Syderal'!$A26,Syderal!N:N)</f>
        <v>0</v>
      </c>
      <c r="T26" s="123">
        <f>SUMIF(Syderal!$A:$A,'Price Table 8 Syderal'!$A26,Syderal!O:O)</f>
        <v>0</v>
      </c>
      <c r="U26" s="123">
        <f>SUMIF(Syderal!$A:$A,'Price Table 8 Syderal'!$A26,Syderal!P:P)</f>
        <v>0</v>
      </c>
      <c r="V26" s="123">
        <f>SUMIF(Syderal!$A:$A,'Price Table 8 Syderal'!$A26,Syderal!Q:Q)</f>
        <v>0</v>
      </c>
      <c r="W26" s="123"/>
      <c r="X26" s="123"/>
      <c r="Y26" s="58"/>
      <c r="Z26" s="29"/>
      <c r="AA26" s="29"/>
      <c r="AB26" s="29"/>
      <c r="AC26" s="29"/>
      <c r="AD26" s="29"/>
      <c r="AE26" s="29"/>
      <c r="AF26" s="29"/>
      <c r="AG26" s="29"/>
      <c r="AH26">
        <f t="shared" si="0"/>
        <v>0</v>
      </c>
    </row>
    <row r="27" spans="1:34">
      <c r="B27" s="48" t="s">
        <v>575</v>
      </c>
      <c r="C27" s="52"/>
      <c r="D27" s="50"/>
      <c r="H27"/>
      <c r="J27" s="28"/>
      <c r="K27" s="123">
        <f>SUMIF(Syderal!$A:$A,'Price Table 8 Syderal'!$A27,Syderal!F:F)</f>
        <v>0</v>
      </c>
      <c r="L27" s="123">
        <f>SUMIF(Syderal!$A:$A,'Price Table 8 Syderal'!$A27,Syderal!G:G)</f>
        <v>0</v>
      </c>
      <c r="M27" s="123">
        <f>SUMIF(Syderal!$A:$A,'Price Table 8 Syderal'!$A27,Syderal!H:H)</f>
        <v>0</v>
      </c>
      <c r="N27" s="123">
        <f>SUMIF(Syderal!$A:$A,'Price Table 8 Syderal'!$A27,Syderal!I:I)</f>
        <v>0</v>
      </c>
      <c r="O27" s="123">
        <f>SUMIF(Syderal!$A:$A,'Price Table 8 Syderal'!$A27,Syderal!J:J)</f>
        <v>0</v>
      </c>
      <c r="P27" s="123">
        <f>SUMIF(Syderal!$A:$A,'Price Table 8 Syderal'!$A27,Syderal!K:K)</f>
        <v>0</v>
      </c>
      <c r="Q27" s="123">
        <f>SUMIF(Syderal!$A:$A,'Price Table 8 Syderal'!$A27,Syderal!L:L)</f>
        <v>0</v>
      </c>
      <c r="R27" s="123">
        <f>SUMIF(Syderal!$A:$A,'Price Table 8 Syderal'!$A27,Syderal!M:M)</f>
        <v>0</v>
      </c>
      <c r="S27" s="123">
        <f>SUMIF(Syderal!$A:$A,'Price Table 8 Syderal'!$A27,Syderal!N:N)</f>
        <v>0</v>
      </c>
      <c r="T27" s="123">
        <f>SUMIF(Syderal!$A:$A,'Price Table 8 Syderal'!$A27,Syderal!O:O)</f>
        <v>0</v>
      </c>
      <c r="U27" s="123">
        <f>SUMIF(Syderal!$A:$A,'Price Table 8 Syderal'!$A27,Syderal!P:P)</f>
        <v>0</v>
      </c>
      <c r="V27" s="123">
        <f>SUMIF(Syderal!$A:$A,'Price Table 8 Syderal'!$A27,Syderal!Q:Q)</f>
        <v>0</v>
      </c>
      <c r="W27" s="123"/>
      <c r="X27" s="123"/>
      <c r="Y27" s="28"/>
      <c r="Z27" s="28"/>
      <c r="AA27" s="28"/>
      <c r="AB27" s="28"/>
      <c r="AC27" s="28"/>
      <c r="AD27" s="28"/>
      <c r="AE27" s="28"/>
      <c r="AF27" s="28"/>
      <c r="AG27" s="28"/>
      <c r="AH27">
        <f t="shared" si="0"/>
        <v>0</v>
      </c>
    </row>
    <row r="28" spans="1:34">
      <c r="A28" t="s">
        <v>180</v>
      </c>
      <c r="B28" s="51" t="s">
        <v>576</v>
      </c>
      <c r="C28" s="53"/>
      <c r="D28" s="44"/>
      <c r="E28" s="37" t="s">
        <v>14</v>
      </c>
      <c r="F28" s="59" t="s">
        <v>13</v>
      </c>
      <c r="G28" s="36" t="str">
        <f>CONCATENATE(E28,F28)</f>
        <v>MISSIONManpower</v>
      </c>
      <c r="H28" s="71">
        <v>430000</v>
      </c>
      <c r="I28" s="74" t="s">
        <v>577</v>
      </c>
      <c r="J28" s="28"/>
      <c r="K28" s="123">
        <f>SUMIF(Syderal!$A:$A,'Price Table 8 Syderal'!$A28,Syderal!F:F)</f>
        <v>0</v>
      </c>
      <c r="L28" s="123">
        <f>SUMIF(Syderal!$A:$A,'Price Table 8 Syderal'!$A28,Syderal!G:G)</f>
        <v>0</v>
      </c>
      <c r="M28" s="123">
        <f>SUMIF(Syderal!$A:$A,'Price Table 8 Syderal'!$A28,Syderal!H:H)</f>
        <v>0</v>
      </c>
      <c r="N28" s="123">
        <f>SUMIF(Syderal!$A:$A,'Price Table 8 Syderal'!$A28,Syderal!I:I)</f>
        <v>0</v>
      </c>
      <c r="O28" s="123">
        <f>SUMIF(Syderal!$A:$A,'Price Table 8 Syderal'!$A28,Syderal!J:J)</f>
        <v>0</v>
      </c>
      <c r="P28" s="123">
        <f>SUMIF(Syderal!$A:$A,'Price Table 8 Syderal'!$A28,Syderal!K:K)</f>
        <v>0</v>
      </c>
      <c r="Q28" s="123">
        <f>SUMIF(Syderal!$A:$A,'Price Table 8 Syderal'!$A28,Syderal!L:L)</f>
        <v>0</v>
      </c>
      <c r="R28" s="123">
        <f>SUMIF(Syderal!$A:$A,'Price Table 8 Syderal'!$A28,Syderal!M:M)</f>
        <v>0</v>
      </c>
      <c r="S28" s="123">
        <f>SUMIF(Syderal!$A:$A,'Price Table 8 Syderal'!$A28,Syderal!N:N)</f>
        <v>0</v>
      </c>
      <c r="T28" s="123">
        <f>SUMIF(Syderal!$A:$A,'Price Table 8 Syderal'!$A28,Syderal!O:O)</f>
        <v>0</v>
      </c>
      <c r="U28" s="123">
        <f>SUMIF(Syderal!$A:$A,'Price Table 8 Syderal'!$A28,Syderal!P:P)</f>
        <v>0</v>
      </c>
      <c r="V28" s="123">
        <f>SUMIF(Syderal!$A:$A,'Price Table 8 Syderal'!$A28,Syderal!Q:Q)</f>
        <v>0</v>
      </c>
      <c r="W28" s="123"/>
      <c r="X28" s="123"/>
      <c r="Y28" s="32"/>
      <c r="Z28" s="28"/>
      <c r="AA28" s="28"/>
      <c r="AB28" s="28"/>
      <c r="AC28" s="28"/>
      <c r="AD28" s="28"/>
      <c r="AE28" s="28"/>
      <c r="AF28" s="28"/>
      <c r="AG28" s="28"/>
      <c r="AH28">
        <f t="shared" si="0"/>
        <v>0</v>
      </c>
    </row>
    <row r="29" spans="1:34">
      <c r="A29" t="s">
        <v>578</v>
      </c>
      <c r="B29" s="51" t="s">
        <v>579</v>
      </c>
      <c r="C29" s="53"/>
      <c r="D29" s="44"/>
      <c r="E29" s="37" t="s">
        <v>14</v>
      </c>
      <c r="F29" s="59" t="s">
        <v>117</v>
      </c>
      <c r="G29" s="36" t="str">
        <f>CONCATENATE(E29,F29)</f>
        <v>MISSIONProcurement</v>
      </c>
      <c r="H29" s="72">
        <v>430000</v>
      </c>
      <c r="I29" s="74" t="s">
        <v>577</v>
      </c>
      <c r="J29" s="28"/>
      <c r="K29" s="123">
        <f>SUMIF(Syderal!$A:$A,'Price Table 8 Syderal'!$A29,Syderal!F:F)</f>
        <v>0</v>
      </c>
      <c r="L29" s="123">
        <f>SUMIF(Syderal!$A:$A,'Price Table 8 Syderal'!$A29,Syderal!G:G)</f>
        <v>0</v>
      </c>
      <c r="M29" s="123">
        <f>SUMIF(Syderal!$A:$A,'Price Table 8 Syderal'!$A29,Syderal!H:H)</f>
        <v>0</v>
      </c>
      <c r="N29" s="123">
        <f>SUMIF(Syderal!$A:$A,'Price Table 8 Syderal'!$A29,Syderal!I:I)</f>
        <v>0</v>
      </c>
      <c r="O29" s="123">
        <f>SUMIF(Syderal!$A:$A,'Price Table 8 Syderal'!$A29,Syderal!J:J)</f>
        <v>0</v>
      </c>
      <c r="P29" s="123">
        <f>SUMIF(Syderal!$A:$A,'Price Table 8 Syderal'!$A29,Syderal!K:K)</f>
        <v>0</v>
      </c>
      <c r="Q29" s="123">
        <f>SUMIF(Syderal!$A:$A,'Price Table 8 Syderal'!$A29,Syderal!L:L)</f>
        <v>0</v>
      </c>
      <c r="R29" s="123">
        <f>SUMIF(Syderal!$A:$A,'Price Table 8 Syderal'!$A29,Syderal!M:M)</f>
        <v>0</v>
      </c>
      <c r="S29" s="123">
        <f>SUMIF(Syderal!$A:$A,'Price Table 8 Syderal'!$A29,Syderal!N:N)</f>
        <v>0</v>
      </c>
      <c r="T29" s="123">
        <f>SUMIF(Syderal!$A:$A,'Price Table 8 Syderal'!$A29,Syderal!O:O)</f>
        <v>0</v>
      </c>
      <c r="U29" s="123">
        <f>SUMIF(Syderal!$A:$A,'Price Table 8 Syderal'!$A29,Syderal!P:P)</f>
        <v>0</v>
      </c>
      <c r="V29" s="123">
        <f>SUMIF(Syderal!$A:$A,'Price Table 8 Syderal'!$A29,Syderal!Q:Q)</f>
        <v>0</v>
      </c>
      <c r="W29" s="123"/>
      <c r="X29" s="123"/>
      <c r="Y29" s="29"/>
      <c r="Z29" s="28"/>
      <c r="AA29" s="28"/>
      <c r="AB29" s="28"/>
      <c r="AC29" s="28"/>
      <c r="AD29" s="28"/>
      <c r="AE29" s="28"/>
      <c r="AF29" s="28"/>
      <c r="AG29" s="28"/>
      <c r="AH29">
        <f t="shared" si="0"/>
        <v>0</v>
      </c>
    </row>
    <row r="30" spans="1:34" s="16" customFormat="1">
      <c r="B30" s="45"/>
      <c r="C30" s="55"/>
      <c r="D30" s="56" t="s">
        <v>562</v>
      </c>
      <c r="E30" s="57"/>
      <c r="F30" s="57"/>
      <c r="G30" s="57"/>
      <c r="H30" s="17"/>
      <c r="J30" s="29"/>
      <c r="K30" s="123">
        <f>SUMIF(Syderal!$A:$A,'Price Table 8 Syderal'!$A30,Syderal!F:F)</f>
        <v>0</v>
      </c>
      <c r="L30" s="123">
        <f>SUMIF(Syderal!$A:$A,'Price Table 8 Syderal'!$A30,Syderal!G:G)</f>
        <v>0</v>
      </c>
      <c r="M30" s="123">
        <f>SUMIF(Syderal!$A:$A,'Price Table 8 Syderal'!$A30,Syderal!H:H)</f>
        <v>0</v>
      </c>
      <c r="N30" s="123">
        <f>SUMIF(Syderal!$A:$A,'Price Table 8 Syderal'!$A30,Syderal!I:I)</f>
        <v>0</v>
      </c>
      <c r="O30" s="123">
        <f>SUMIF(Syderal!$A:$A,'Price Table 8 Syderal'!$A30,Syderal!J:J)</f>
        <v>0</v>
      </c>
      <c r="P30" s="123">
        <f>SUMIF(Syderal!$A:$A,'Price Table 8 Syderal'!$A30,Syderal!K:K)</f>
        <v>0</v>
      </c>
      <c r="Q30" s="123">
        <f>SUMIF(Syderal!$A:$A,'Price Table 8 Syderal'!$A30,Syderal!L:L)</f>
        <v>0</v>
      </c>
      <c r="R30" s="123">
        <f>SUMIF(Syderal!$A:$A,'Price Table 8 Syderal'!$A30,Syderal!M:M)</f>
        <v>0</v>
      </c>
      <c r="S30" s="123">
        <f>SUMIF(Syderal!$A:$A,'Price Table 8 Syderal'!$A30,Syderal!N:N)</f>
        <v>0</v>
      </c>
      <c r="T30" s="123">
        <f>SUMIF(Syderal!$A:$A,'Price Table 8 Syderal'!$A30,Syderal!O:O)</f>
        <v>0</v>
      </c>
      <c r="U30" s="123">
        <f>SUMIF(Syderal!$A:$A,'Price Table 8 Syderal'!$A30,Syderal!P:P)</f>
        <v>0</v>
      </c>
      <c r="V30" s="123">
        <f>SUMIF(Syderal!$A:$A,'Price Table 8 Syderal'!$A30,Syderal!Q:Q)</f>
        <v>0</v>
      </c>
      <c r="W30" s="123"/>
      <c r="X30" s="123"/>
      <c r="Y30" s="58"/>
      <c r="Z30" s="29"/>
      <c r="AA30" s="29"/>
      <c r="AB30" s="29"/>
      <c r="AC30" s="29"/>
      <c r="AD30" s="29"/>
      <c r="AE30" s="29"/>
      <c r="AF30" s="29"/>
      <c r="AG30" s="29"/>
      <c r="AH30">
        <f t="shared" si="0"/>
        <v>0</v>
      </c>
    </row>
    <row r="31" spans="1:34">
      <c r="B31" s="48" t="s">
        <v>580</v>
      </c>
      <c r="C31" s="52"/>
      <c r="D31" s="50"/>
      <c r="E31" s="37"/>
      <c r="F31" s="37"/>
      <c r="G31" s="37"/>
      <c r="H31" s="62"/>
      <c r="I31" s="18"/>
      <c r="J31" s="28"/>
      <c r="K31" s="123">
        <f>SUMIF(Syderal!$A:$A,'Price Table 8 Syderal'!$A31,Syderal!F:F)</f>
        <v>0</v>
      </c>
      <c r="L31" s="123">
        <f>SUMIF(Syderal!$A:$A,'Price Table 8 Syderal'!$A31,Syderal!G:G)</f>
        <v>0</v>
      </c>
      <c r="M31" s="123">
        <f>SUMIF(Syderal!$A:$A,'Price Table 8 Syderal'!$A31,Syderal!H:H)</f>
        <v>0</v>
      </c>
      <c r="N31" s="123">
        <f>SUMIF(Syderal!$A:$A,'Price Table 8 Syderal'!$A31,Syderal!I:I)</f>
        <v>0</v>
      </c>
      <c r="O31" s="123">
        <f>SUMIF(Syderal!$A:$A,'Price Table 8 Syderal'!$A31,Syderal!J:J)</f>
        <v>0</v>
      </c>
      <c r="P31" s="123">
        <f>SUMIF(Syderal!$A:$A,'Price Table 8 Syderal'!$A31,Syderal!K:K)</f>
        <v>0</v>
      </c>
      <c r="Q31" s="123">
        <f>SUMIF(Syderal!$A:$A,'Price Table 8 Syderal'!$A31,Syderal!L:L)</f>
        <v>0</v>
      </c>
      <c r="R31" s="123">
        <f>SUMIF(Syderal!$A:$A,'Price Table 8 Syderal'!$A31,Syderal!M:M)</f>
        <v>0</v>
      </c>
      <c r="S31" s="123">
        <f>SUMIF(Syderal!$A:$A,'Price Table 8 Syderal'!$A31,Syderal!N:N)</f>
        <v>0</v>
      </c>
      <c r="T31" s="123">
        <f>SUMIF(Syderal!$A:$A,'Price Table 8 Syderal'!$A31,Syderal!O:O)</f>
        <v>0</v>
      </c>
      <c r="U31" s="123">
        <f>SUMIF(Syderal!$A:$A,'Price Table 8 Syderal'!$A31,Syderal!P:P)</f>
        <v>0</v>
      </c>
      <c r="V31" s="123">
        <f>SUMIF(Syderal!$A:$A,'Price Table 8 Syderal'!$A31,Syderal!Q:Q)</f>
        <v>0</v>
      </c>
      <c r="W31" s="123"/>
      <c r="X31" s="123"/>
      <c r="Y31" s="28"/>
      <c r="Z31" s="28"/>
      <c r="AA31" s="28"/>
      <c r="AB31" s="28"/>
      <c r="AC31" s="28"/>
      <c r="AD31" s="28"/>
      <c r="AE31" s="28"/>
      <c r="AF31" s="28"/>
      <c r="AG31" s="28"/>
      <c r="AH31">
        <f t="shared" si="0"/>
        <v>0</v>
      </c>
    </row>
    <row r="32" spans="1:34">
      <c r="A32" t="s">
        <v>173</v>
      </c>
      <c r="B32" s="51" t="s">
        <v>581</v>
      </c>
      <c r="C32" s="53"/>
      <c r="D32" s="44"/>
      <c r="E32" s="37" t="s">
        <v>14</v>
      </c>
      <c r="F32" s="36" t="s">
        <v>13</v>
      </c>
      <c r="G32" s="36" t="str">
        <f>CONCATENATE(E32,F32)</f>
        <v>MISSIONManpower</v>
      </c>
      <c r="H32" s="61">
        <v>420000</v>
      </c>
      <c r="I32" s="74" t="s">
        <v>577</v>
      </c>
      <c r="J32" s="28"/>
      <c r="K32" s="123">
        <f>SUMIF(Syderal!$A:$A,'Price Table 8 Syderal'!$A32,Syderal!F:F)</f>
        <v>0</v>
      </c>
      <c r="L32" s="123">
        <f>SUMIF(Syderal!$A:$A,'Price Table 8 Syderal'!$A32,Syderal!G:G)</f>
        <v>0</v>
      </c>
      <c r="M32" s="123">
        <f>SUMIF(Syderal!$A:$A,'Price Table 8 Syderal'!$A32,Syderal!H:H)</f>
        <v>0</v>
      </c>
      <c r="N32" s="123">
        <f>SUMIF(Syderal!$A:$A,'Price Table 8 Syderal'!$A32,Syderal!I:I)</f>
        <v>0</v>
      </c>
      <c r="O32" s="123">
        <f>SUMIF(Syderal!$A:$A,'Price Table 8 Syderal'!$A32,Syderal!J:J)</f>
        <v>0</v>
      </c>
      <c r="P32" s="123">
        <f>SUMIF(Syderal!$A:$A,'Price Table 8 Syderal'!$A32,Syderal!K:K)</f>
        <v>0</v>
      </c>
      <c r="Q32" s="123">
        <f>SUMIF(Syderal!$A:$A,'Price Table 8 Syderal'!$A32,Syderal!L:L)</f>
        <v>0</v>
      </c>
      <c r="R32" s="123">
        <f>SUMIF(Syderal!$A:$A,'Price Table 8 Syderal'!$A32,Syderal!M:M)</f>
        <v>0</v>
      </c>
      <c r="S32" s="123">
        <f>SUMIF(Syderal!$A:$A,'Price Table 8 Syderal'!$A32,Syderal!N:N)</f>
        <v>0</v>
      </c>
      <c r="T32" s="123">
        <f>SUMIF(Syderal!$A:$A,'Price Table 8 Syderal'!$A32,Syderal!O:O)</f>
        <v>0</v>
      </c>
      <c r="U32" s="123">
        <f>SUMIF(Syderal!$A:$A,'Price Table 8 Syderal'!$A32,Syderal!P:P)</f>
        <v>0</v>
      </c>
      <c r="V32" s="123">
        <f>SUMIF(Syderal!$A:$A,'Price Table 8 Syderal'!$A32,Syderal!Q:Q)</f>
        <v>0</v>
      </c>
      <c r="W32" s="123"/>
      <c r="X32" s="123"/>
      <c r="Y32" s="32"/>
      <c r="Z32" s="28"/>
      <c r="AA32" s="28"/>
      <c r="AB32" s="28"/>
      <c r="AC32" s="28"/>
      <c r="AD32" s="28"/>
      <c r="AE32" s="28"/>
      <c r="AF32" s="28"/>
      <c r="AG32" s="28"/>
      <c r="AH32">
        <f t="shared" si="0"/>
        <v>0</v>
      </c>
    </row>
    <row r="33" spans="1:34">
      <c r="A33" t="s">
        <v>582</v>
      </c>
      <c r="B33" s="51" t="s">
        <v>583</v>
      </c>
      <c r="C33" s="53"/>
      <c r="D33" s="44"/>
      <c r="E33" s="37" t="s">
        <v>14</v>
      </c>
      <c r="F33" s="36" t="s">
        <v>117</v>
      </c>
      <c r="G33" s="36" t="str">
        <f>CONCATENATE(E33,F33)</f>
        <v>MISSIONProcurement</v>
      </c>
      <c r="H33" s="61">
        <v>420000</v>
      </c>
      <c r="I33" s="74" t="s">
        <v>577</v>
      </c>
      <c r="J33" s="28"/>
      <c r="K33" s="123">
        <f>SUMIF(Syderal!$A:$A,'Price Table 8 Syderal'!$A33,Syderal!F:F)</f>
        <v>0</v>
      </c>
      <c r="L33" s="123">
        <f>SUMIF(Syderal!$A:$A,'Price Table 8 Syderal'!$A33,Syderal!G:G)</f>
        <v>0</v>
      </c>
      <c r="M33" s="123">
        <f>SUMIF(Syderal!$A:$A,'Price Table 8 Syderal'!$A33,Syderal!H:H)</f>
        <v>0</v>
      </c>
      <c r="N33" s="123">
        <f>SUMIF(Syderal!$A:$A,'Price Table 8 Syderal'!$A33,Syderal!I:I)</f>
        <v>0</v>
      </c>
      <c r="O33" s="123">
        <f>SUMIF(Syderal!$A:$A,'Price Table 8 Syderal'!$A33,Syderal!J:J)</f>
        <v>0</v>
      </c>
      <c r="P33" s="123">
        <f>SUMIF(Syderal!$A:$A,'Price Table 8 Syderal'!$A33,Syderal!K:K)</f>
        <v>0</v>
      </c>
      <c r="Q33" s="123">
        <f>SUMIF(Syderal!$A:$A,'Price Table 8 Syderal'!$A33,Syderal!L:L)</f>
        <v>0</v>
      </c>
      <c r="R33" s="123">
        <f>SUMIF(Syderal!$A:$A,'Price Table 8 Syderal'!$A33,Syderal!M:M)</f>
        <v>0</v>
      </c>
      <c r="S33" s="123">
        <f>SUMIF(Syderal!$A:$A,'Price Table 8 Syderal'!$A33,Syderal!N:N)</f>
        <v>0</v>
      </c>
      <c r="T33" s="123">
        <f>SUMIF(Syderal!$A:$A,'Price Table 8 Syderal'!$A33,Syderal!O:O)</f>
        <v>0</v>
      </c>
      <c r="U33" s="123">
        <f>SUMIF(Syderal!$A:$A,'Price Table 8 Syderal'!$A33,Syderal!P:P)</f>
        <v>0</v>
      </c>
      <c r="V33" s="123">
        <f>SUMIF(Syderal!$A:$A,'Price Table 8 Syderal'!$A33,Syderal!Q:Q)</f>
        <v>0</v>
      </c>
      <c r="W33" s="123"/>
      <c r="X33" s="123"/>
      <c r="Y33" s="32"/>
      <c r="Z33" s="28"/>
      <c r="AA33" s="28"/>
      <c r="AB33" s="28"/>
      <c r="AC33" s="28"/>
      <c r="AD33" s="28"/>
      <c r="AE33" s="28"/>
      <c r="AF33" s="28"/>
      <c r="AG33" s="28"/>
      <c r="AH33">
        <f t="shared" si="0"/>
        <v>0</v>
      </c>
    </row>
    <row r="34" spans="1:34" s="16" customFormat="1">
      <c r="B34" s="45"/>
      <c r="C34" s="55"/>
      <c r="D34" s="56" t="s">
        <v>562</v>
      </c>
      <c r="E34" s="57"/>
      <c r="F34" s="57"/>
      <c r="G34" s="57"/>
      <c r="H34" s="17"/>
      <c r="J34" s="29"/>
      <c r="K34" s="123">
        <f>SUMIF(Syderal!$A:$A,'Price Table 8 Syderal'!$A34,Syderal!F:F)</f>
        <v>0</v>
      </c>
      <c r="L34" s="123">
        <f>SUMIF(Syderal!$A:$A,'Price Table 8 Syderal'!$A34,Syderal!G:G)</f>
        <v>0</v>
      </c>
      <c r="M34" s="123">
        <f>SUMIF(Syderal!$A:$A,'Price Table 8 Syderal'!$A34,Syderal!H:H)</f>
        <v>0</v>
      </c>
      <c r="N34" s="123">
        <f>SUMIF(Syderal!$A:$A,'Price Table 8 Syderal'!$A34,Syderal!I:I)</f>
        <v>0</v>
      </c>
      <c r="O34" s="123">
        <f>SUMIF(Syderal!$A:$A,'Price Table 8 Syderal'!$A34,Syderal!J:J)</f>
        <v>0</v>
      </c>
      <c r="P34" s="123">
        <f>SUMIF(Syderal!$A:$A,'Price Table 8 Syderal'!$A34,Syderal!K:K)</f>
        <v>0</v>
      </c>
      <c r="Q34" s="123">
        <f>SUMIF(Syderal!$A:$A,'Price Table 8 Syderal'!$A34,Syderal!L:L)</f>
        <v>0</v>
      </c>
      <c r="R34" s="123">
        <f>SUMIF(Syderal!$A:$A,'Price Table 8 Syderal'!$A34,Syderal!M:M)</f>
        <v>0</v>
      </c>
      <c r="S34" s="123">
        <f>SUMIF(Syderal!$A:$A,'Price Table 8 Syderal'!$A34,Syderal!N:N)</f>
        <v>0</v>
      </c>
      <c r="T34" s="123">
        <f>SUMIF(Syderal!$A:$A,'Price Table 8 Syderal'!$A34,Syderal!O:O)</f>
        <v>0</v>
      </c>
      <c r="U34" s="123">
        <f>SUMIF(Syderal!$A:$A,'Price Table 8 Syderal'!$A34,Syderal!P:P)</f>
        <v>0</v>
      </c>
      <c r="V34" s="123">
        <f>SUMIF(Syderal!$A:$A,'Price Table 8 Syderal'!$A34,Syderal!Q:Q)</f>
        <v>0</v>
      </c>
      <c r="W34" s="123"/>
      <c r="X34" s="123"/>
      <c r="Y34" s="58"/>
      <c r="Z34" s="29"/>
      <c r="AA34" s="29"/>
      <c r="AB34" s="29"/>
      <c r="AC34" s="29"/>
      <c r="AD34" s="29"/>
      <c r="AE34" s="29"/>
      <c r="AF34" s="29"/>
      <c r="AG34" s="29"/>
      <c r="AH34">
        <f t="shared" si="0"/>
        <v>0</v>
      </c>
    </row>
    <row r="35" spans="1:34">
      <c r="B35" s="48" t="s">
        <v>584</v>
      </c>
      <c r="C35" s="52"/>
      <c r="D35" s="50"/>
      <c r="H35"/>
      <c r="J35" s="28"/>
      <c r="K35" s="123">
        <f>SUMIF(Syderal!$A:$A,'Price Table 8 Syderal'!$A35,Syderal!F:F)</f>
        <v>0</v>
      </c>
      <c r="L35" s="123">
        <f>SUMIF(Syderal!$A:$A,'Price Table 8 Syderal'!$A35,Syderal!G:G)</f>
        <v>0</v>
      </c>
      <c r="M35" s="123">
        <f>SUMIF(Syderal!$A:$A,'Price Table 8 Syderal'!$A35,Syderal!H:H)</f>
        <v>0</v>
      </c>
      <c r="N35" s="123">
        <f>SUMIF(Syderal!$A:$A,'Price Table 8 Syderal'!$A35,Syderal!I:I)</f>
        <v>0</v>
      </c>
      <c r="O35" s="123">
        <f>SUMIF(Syderal!$A:$A,'Price Table 8 Syderal'!$A35,Syderal!J:J)</f>
        <v>0</v>
      </c>
      <c r="P35" s="123">
        <f>SUMIF(Syderal!$A:$A,'Price Table 8 Syderal'!$A35,Syderal!K:K)</f>
        <v>0</v>
      </c>
      <c r="Q35" s="123">
        <f>SUMIF(Syderal!$A:$A,'Price Table 8 Syderal'!$A35,Syderal!L:L)</f>
        <v>0</v>
      </c>
      <c r="R35" s="123">
        <f>SUMIF(Syderal!$A:$A,'Price Table 8 Syderal'!$A35,Syderal!M:M)</f>
        <v>0</v>
      </c>
      <c r="S35" s="123">
        <f>SUMIF(Syderal!$A:$A,'Price Table 8 Syderal'!$A35,Syderal!N:N)</f>
        <v>0</v>
      </c>
      <c r="T35" s="123">
        <f>SUMIF(Syderal!$A:$A,'Price Table 8 Syderal'!$A35,Syderal!O:O)</f>
        <v>0</v>
      </c>
      <c r="U35" s="123">
        <f>SUMIF(Syderal!$A:$A,'Price Table 8 Syderal'!$A35,Syderal!P:P)</f>
        <v>0</v>
      </c>
      <c r="V35" s="123">
        <f>SUMIF(Syderal!$A:$A,'Price Table 8 Syderal'!$A35,Syderal!Q:Q)</f>
        <v>0</v>
      </c>
      <c r="W35" s="123"/>
      <c r="X35" s="123"/>
      <c r="Y35" s="28"/>
      <c r="Z35" s="28"/>
      <c r="AA35" s="28"/>
      <c r="AB35" s="28"/>
      <c r="AC35" s="28"/>
      <c r="AD35" s="28"/>
      <c r="AE35" s="28"/>
      <c r="AF35" s="28"/>
      <c r="AG35" s="28"/>
      <c r="AH35">
        <f t="shared" si="0"/>
        <v>0</v>
      </c>
    </row>
    <row r="36" spans="1:34">
      <c r="A36" t="s">
        <v>187</v>
      </c>
      <c r="B36" s="51" t="s">
        <v>585</v>
      </c>
      <c r="C36" s="53"/>
      <c r="D36" s="44"/>
      <c r="E36" s="37" t="s">
        <v>14</v>
      </c>
      <c r="F36" s="36" t="s">
        <v>13</v>
      </c>
      <c r="G36" s="36" t="str">
        <f>CONCATENATE(E36,F36)</f>
        <v>MISSIONManpower</v>
      </c>
      <c r="H36" s="61">
        <v>440000</v>
      </c>
      <c r="I36" t="s">
        <v>586</v>
      </c>
      <c r="J36" s="28"/>
      <c r="K36" s="123">
        <f>SUMIF(Syderal!$A:$A,'Price Table 8 Syderal'!$A36,Syderal!F:F)</f>
        <v>0</v>
      </c>
      <c r="L36" s="123">
        <f>SUMIF(Syderal!$A:$A,'Price Table 8 Syderal'!$A36,Syderal!G:G)</f>
        <v>0</v>
      </c>
      <c r="M36" s="123">
        <f>SUMIF(Syderal!$A:$A,'Price Table 8 Syderal'!$A36,Syderal!H:H)</f>
        <v>0</v>
      </c>
      <c r="N36" s="123">
        <f>SUMIF(Syderal!$A:$A,'Price Table 8 Syderal'!$A36,Syderal!I:I)</f>
        <v>0</v>
      </c>
      <c r="O36" s="123">
        <f>SUMIF(Syderal!$A:$A,'Price Table 8 Syderal'!$A36,Syderal!J:J)</f>
        <v>0</v>
      </c>
      <c r="P36" s="123">
        <f>SUMIF(Syderal!$A:$A,'Price Table 8 Syderal'!$A36,Syderal!K:K)</f>
        <v>0</v>
      </c>
      <c r="Q36" s="123">
        <f>SUMIF(Syderal!$A:$A,'Price Table 8 Syderal'!$A36,Syderal!L:L)</f>
        <v>0</v>
      </c>
      <c r="R36" s="123">
        <f>SUMIF(Syderal!$A:$A,'Price Table 8 Syderal'!$A36,Syderal!M:M)</f>
        <v>0</v>
      </c>
      <c r="S36" s="123">
        <f>SUMIF(Syderal!$A:$A,'Price Table 8 Syderal'!$A36,Syderal!N:N)</f>
        <v>0</v>
      </c>
      <c r="T36" s="123">
        <f>SUMIF(Syderal!$A:$A,'Price Table 8 Syderal'!$A36,Syderal!O:O)</f>
        <v>0</v>
      </c>
      <c r="U36" s="123">
        <f>SUMIF(Syderal!$A:$A,'Price Table 8 Syderal'!$A36,Syderal!P:P)</f>
        <v>0</v>
      </c>
      <c r="V36" s="123">
        <f>SUMIF(Syderal!$A:$A,'Price Table 8 Syderal'!$A36,Syderal!Q:Q)</f>
        <v>0</v>
      </c>
      <c r="W36" s="123"/>
      <c r="X36" s="123"/>
      <c r="Y36" s="32"/>
      <c r="Z36" s="28"/>
      <c r="AA36" s="28"/>
      <c r="AB36" s="28"/>
      <c r="AC36" s="28"/>
      <c r="AD36" s="28"/>
      <c r="AE36" s="28"/>
      <c r="AF36" s="28"/>
      <c r="AG36" s="28"/>
      <c r="AH36">
        <f t="shared" si="0"/>
        <v>0</v>
      </c>
    </row>
    <row r="37" spans="1:34">
      <c r="A37" t="s">
        <v>587</v>
      </c>
      <c r="B37" s="51" t="s">
        <v>588</v>
      </c>
      <c r="C37" s="53"/>
      <c r="D37" s="44"/>
      <c r="E37" s="37" t="s">
        <v>14</v>
      </c>
      <c r="F37" s="36" t="s">
        <v>117</v>
      </c>
      <c r="G37" s="36" t="str">
        <f>CONCATENATE(E37,F37)</f>
        <v>MISSIONProcurement</v>
      </c>
      <c r="H37"/>
      <c r="J37" s="28"/>
      <c r="K37" s="123">
        <f>SUMIF(Syderal!$A:$A,'Price Table 8 Syderal'!$A37,Syderal!F:F)</f>
        <v>0</v>
      </c>
      <c r="L37" s="123">
        <f>SUMIF(Syderal!$A:$A,'Price Table 8 Syderal'!$A37,Syderal!G:G)</f>
        <v>0</v>
      </c>
      <c r="M37" s="123">
        <f>SUMIF(Syderal!$A:$A,'Price Table 8 Syderal'!$A37,Syderal!H:H)</f>
        <v>0</v>
      </c>
      <c r="N37" s="123">
        <f>SUMIF(Syderal!$A:$A,'Price Table 8 Syderal'!$A37,Syderal!I:I)</f>
        <v>0</v>
      </c>
      <c r="O37" s="123">
        <f>SUMIF(Syderal!$A:$A,'Price Table 8 Syderal'!$A37,Syderal!J:J)</f>
        <v>0</v>
      </c>
      <c r="P37" s="123">
        <f>SUMIF(Syderal!$A:$A,'Price Table 8 Syderal'!$A37,Syderal!K:K)</f>
        <v>0</v>
      </c>
      <c r="Q37" s="123">
        <f>SUMIF(Syderal!$A:$A,'Price Table 8 Syderal'!$A37,Syderal!L:L)</f>
        <v>0</v>
      </c>
      <c r="R37" s="123">
        <f>SUMIF(Syderal!$A:$A,'Price Table 8 Syderal'!$A37,Syderal!M:M)</f>
        <v>0</v>
      </c>
      <c r="S37" s="123">
        <f>SUMIF(Syderal!$A:$A,'Price Table 8 Syderal'!$A37,Syderal!N:N)</f>
        <v>0</v>
      </c>
      <c r="T37" s="123">
        <f>SUMIF(Syderal!$A:$A,'Price Table 8 Syderal'!$A37,Syderal!O:O)</f>
        <v>0</v>
      </c>
      <c r="U37" s="123">
        <f>SUMIF(Syderal!$A:$A,'Price Table 8 Syderal'!$A37,Syderal!P:P)</f>
        <v>0</v>
      </c>
      <c r="V37" s="123">
        <f>SUMIF(Syderal!$A:$A,'Price Table 8 Syderal'!$A37,Syderal!Q:Q)</f>
        <v>0</v>
      </c>
      <c r="W37" s="123"/>
      <c r="X37" s="123"/>
      <c r="Y37" s="28"/>
      <c r="Z37" s="28"/>
      <c r="AA37" s="28"/>
      <c r="AB37" s="28"/>
      <c r="AC37" s="28"/>
      <c r="AD37" s="28"/>
      <c r="AE37" s="28"/>
      <c r="AF37" s="28"/>
      <c r="AG37" s="28"/>
      <c r="AH37">
        <f t="shared" si="0"/>
        <v>0</v>
      </c>
    </row>
    <row r="38" spans="1:34" s="16" customFormat="1">
      <c r="B38" s="45"/>
      <c r="C38" s="55"/>
      <c r="D38" s="56" t="s">
        <v>562</v>
      </c>
      <c r="E38" s="57"/>
      <c r="F38" s="57"/>
      <c r="G38" s="57"/>
      <c r="H38" s="17"/>
      <c r="J38" s="29"/>
      <c r="K38" s="123">
        <f>SUMIF(Syderal!$A:$A,'Price Table 8 Syderal'!$A38,Syderal!F:F)</f>
        <v>0</v>
      </c>
      <c r="L38" s="123">
        <f>SUMIF(Syderal!$A:$A,'Price Table 8 Syderal'!$A38,Syderal!G:G)</f>
        <v>0</v>
      </c>
      <c r="M38" s="123">
        <f>SUMIF(Syderal!$A:$A,'Price Table 8 Syderal'!$A38,Syderal!H:H)</f>
        <v>0</v>
      </c>
      <c r="N38" s="123">
        <f>SUMIF(Syderal!$A:$A,'Price Table 8 Syderal'!$A38,Syderal!I:I)</f>
        <v>0</v>
      </c>
      <c r="O38" s="123">
        <f>SUMIF(Syderal!$A:$A,'Price Table 8 Syderal'!$A38,Syderal!J:J)</f>
        <v>0</v>
      </c>
      <c r="P38" s="123">
        <f>SUMIF(Syderal!$A:$A,'Price Table 8 Syderal'!$A38,Syderal!K:K)</f>
        <v>0</v>
      </c>
      <c r="Q38" s="123">
        <f>SUMIF(Syderal!$A:$A,'Price Table 8 Syderal'!$A38,Syderal!L:L)</f>
        <v>0</v>
      </c>
      <c r="R38" s="123">
        <f>SUMIF(Syderal!$A:$A,'Price Table 8 Syderal'!$A38,Syderal!M:M)</f>
        <v>0</v>
      </c>
      <c r="S38" s="123">
        <f>SUMIF(Syderal!$A:$A,'Price Table 8 Syderal'!$A38,Syderal!N:N)</f>
        <v>0</v>
      </c>
      <c r="T38" s="123">
        <f>SUMIF(Syderal!$A:$A,'Price Table 8 Syderal'!$A38,Syderal!O:O)</f>
        <v>0</v>
      </c>
      <c r="U38" s="123">
        <f>SUMIF(Syderal!$A:$A,'Price Table 8 Syderal'!$A38,Syderal!P:P)</f>
        <v>0</v>
      </c>
      <c r="V38" s="123">
        <f>SUMIF(Syderal!$A:$A,'Price Table 8 Syderal'!$A38,Syderal!Q:Q)</f>
        <v>0</v>
      </c>
      <c r="W38" s="123"/>
      <c r="X38" s="123"/>
      <c r="Y38" s="58"/>
      <c r="Z38" s="29"/>
      <c r="AA38" s="29"/>
      <c r="AB38" s="29"/>
      <c r="AC38" s="29"/>
      <c r="AD38" s="29"/>
      <c r="AE38" s="29"/>
      <c r="AF38" s="29"/>
      <c r="AG38" s="29"/>
      <c r="AH38">
        <f t="shared" si="0"/>
        <v>0</v>
      </c>
    </row>
    <row r="39" spans="1:34">
      <c r="B39" s="48" t="s">
        <v>589</v>
      </c>
      <c r="C39" s="49"/>
      <c r="D39" s="50"/>
      <c r="H39"/>
      <c r="J39" s="28"/>
      <c r="K39" s="123">
        <f>SUMIF(Syderal!$A:$A,'Price Table 8 Syderal'!$A39,Syderal!F:F)</f>
        <v>0</v>
      </c>
      <c r="L39" s="123">
        <f>SUMIF(Syderal!$A:$A,'Price Table 8 Syderal'!$A39,Syderal!G:G)</f>
        <v>0</v>
      </c>
      <c r="M39" s="123">
        <f>SUMIF(Syderal!$A:$A,'Price Table 8 Syderal'!$A39,Syderal!H:H)</f>
        <v>0</v>
      </c>
      <c r="N39" s="123">
        <f>SUMIF(Syderal!$A:$A,'Price Table 8 Syderal'!$A39,Syderal!I:I)</f>
        <v>0</v>
      </c>
      <c r="O39" s="123">
        <f>SUMIF(Syderal!$A:$A,'Price Table 8 Syderal'!$A39,Syderal!J:J)</f>
        <v>0</v>
      </c>
      <c r="P39" s="123">
        <f>SUMIF(Syderal!$A:$A,'Price Table 8 Syderal'!$A39,Syderal!K:K)</f>
        <v>0</v>
      </c>
      <c r="Q39" s="123">
        <f>SUMIF(Syderal!$A:$A,'Price Table 8 Syderal'!$A39,Syderal!L:L)</f>
        <v>0</v>
      </c>
      <c r="R39" s="123">
        <f>SUMIF(Syderal!$A:$A,'Price Table 8 Syderal'!$A39,Syderal!M:M)</f>
        <v>0</v>
      </c>
      <c r="S39" s="123">
        <f>SUMIF(Syderal!$A:$A,'Price Table 8 Syderal'!$A39,Syderal!N:N)</f>
        <v>0</v>
      </c>
      <c r="T39" s="123">
        <f>SUMIF(Syderal!$A:$A,'Price Table 8 Syderal'!$A39,Syderal!O:O)</f>
        <v>0</v>
      </c>
      <c r="U39" s="123">
        <f>SUMIF(Syderal!$A:$A,'Price Table 8 Syderal'!$A39,Syderal!P:P)</f>
        <v>0</v>
      </c>
      <c r="V39" s="123">
        <f>SUMIF(Syderal!$A:$A,'Price Table 8 Syderal'!$A39,Syderal!Q:Q)</f>
        <v>0</v>
      </c>
      <c r="W39" s="123"/>
      <c r="X39" s="123"/>
      <c r="Y39" s="28"/>
      <c r="Z39" s="28"/>
      <c r="AA39" s="28"/>
      <c r="AB39" s="28"/>
      <c r="AC39" s="28"/>
      <c r="AD39" s="28"/>
      <c r="AE39" s="28"/>
      <c r="AF39" s="28"/>
      <c r="AG39" s="28"/>
      <c r="AH39">
        <f t="shared" si="0"/>
        <v>0</v>
      </c>
    </row>
    <row r="40" spans="1:34">
      <c r="A40" t="s">
        <v>204</v>
      </c>
      <c r="B40" s="51" t="s">
        <v>590</v>
      </c>
      <c r="C40" s="53"/>
      <c r="D40" s="44"/>
      <c r="E40" s="36" t="s">
        <v>14</v>
      </c>
      <c r="F40" s="36" t="s">
        <v>13</v>
      </c>
      <c r="G40" s="36" t="str">
        <f>CONCATENATE(E40,F40)</f>
        <v>MISSIONManpower</v>
      </c>
      <c r="H40" s="61">
        <v>450000</v>
      </c>
      <c r="I40" s="66" t="s">
        <v>591</v>
      </c>
      <c r="J40" s="28"/>
      <c r="K40" s="123">
        <f>SUMIF(Syderal!$A:$A,'Price Table 8 Syderal'!$A40,Syderal!F:F)</f>
        <v>0</v>
      </c>
      <c r="L40" s="123">
        <f>SUMIF(Syderal!$A:$A,'Price Table 8 Syderal'!$A40,Syderal!G:G)</f>
        <v>0</v>
      </c>
      <c r="M40" s="123">
        <f>SUMIF(Syderal!$A:$A,'Price Table 8 Syderal'!$A40,Syderal!H:H)</f>
        <v>0</v>
      </c>
      <c r="N40" s="123">
        <f>SUMIF(Syderal!$A:$A,'Price Table 8 Syderal'!$A40,Syderal!I:I)</f>
        <v>0</v>
      </c>
      <c r="O40" s="123">
        <f>SUMIF(Syderal!$A:$A,'Price Table 8 Syderal'!$A40,Syderal!J:J)</f>
        <v>0</v>
      </c>
      <c r="P40" s="123">
        <f>SUMIF(Syderal!$A:$A,'Price Table 8 Syderal'!$A40,Syderal!K:K)</f>
        <v>0</v>
      </c>
      <c r="Q40" s="123">
        <f>SUMIF(Syderal!$A:$A,'Price Table 8 Syderal'!$A40,Syderal!L:L)</f>
        <v>0</v>
      </c>
      <c r="R40" s="123">
        <f>SUMIF(Syderal!$A:$A,'Price Table 8 Syderal'!$A40,Syderal!M:M)</f>
        <v>0</v>
      </c>
      <c r="S40" s="123">
        <f>SUMIF(Syderal!$A:$A,'Price Table 8 Syderal'!$A40,Syderal!N:N)</f>
        <v>0</v>
      </c>
      <c r="T40" s="123">
        <f>SUMIF(Syderal!$A:$A,'Price Table 8 Syderal'!$A40,Syderal!O:O)</f>
        <v>0</v>
      </c>
      <c r="U40" s="123">
        <f>SUMIF(Syderal!$A:$A,'Price Table 8 Syderal'!$A40,Syderal!P:P)</f>
        <v>0</v>
      </c>
      <c r="V40" s="123">
        <f>SUMIF(Syderal!$A:$A,'Price Table 8 Syderal'!$A40,Syderal!Q:Q)</f>
        <v>0</v>
      </c>
      <c r="W40" s="123"/>
      <c r="X40" s="123"/>
      <c r="Y40" s="32"/>
      <c r="Z40" s="28"/>
      <c r="AA40" s="28"/>
      <c r="AB40" s="28"/>
      <c r="AC40" s="28"/>
      <c r="AD40" s="28"/>
      <c r="AE40" s="28"/>
      <c r="AF40" s="28"/>
      <c r="AG40" s="28"/>
      <c r="AH40">
        <f t="shared" si="0"/>
        <v>0</v>
      </c>
    </row>
    <row r="41" spans="1:34">
      <c r="A41" t="s">
        <v>592</v>
      </c>
      <c r="B41" s="51" t="s">
        <v>593</v>
      </c>
      <c r="C41" s="53"/>
      <c r="D41" s="44"/>
      <c r="E41" s="36" t="s">
        <v>14</v>
      </c>
      <c r="F41" s="36" t="s">
        <v>117</v>
      </c>
      <c r="G41" s="36" t="str">
        <f>CONCATENATE(E41,F41)</f>
        <v>MISSIONProcurement</v>
      </c>
      <c r="H41"/>
      <c r="J41" s="28"/>
      <c r="K41" s="123">
        <f>SUMIF(Syderal!$A:$A,'Price Table 8 Syderal'!$A41,Syderal!F:F)</f>
        <v>0</v>
      </c>
      <c r="L41" s="123">
        <f>SUMIF(Syderal!$A:$A,'Price Table 8 Syderal'!$A41,Syderal!G:G)</f>
        <v>0</v>
      </c>
      <c r="M41" s="123">
        <f>SUMIF(Syderal!$A:$A,'Price Table 8 Syderal'!$A41,Syderal!H:H)</f>
        <v>0</v>
      </c>
      <c r="N41" s="123">
        <f>SUMIF(Syderal!$A:$A,'Price Table 8 Syderal'!$A41,Syderal!I:I)</f>
        <v>0</v>
      </c>
      <c r="O41" s="123">
        <f>SUMIF(Syderal!$A:$A,'Price Table 8 Syderal'!$A41,Syderal!J:J)</f>
        <v>0</v>
      </c>
      <c r="P41" s="123">
        <f>SUMIF(Syderal!$A:$A,'Price Table 8 Syderal'!$A41,Syderal!K:K)</f>
        <v>0</v>
      </c>
      <c r="Q41" s="123">
        <f>SUMIF(Syderal!$A:$A,'Price Table 8 Syderal'!$A41,Syderal!L:L)</f>
        <v>0</v>
      </c>
      <c r="R41" s="123">
        <f>SUMIF(Syderal!$A:$A,'Price Table 8 Syderal'!$A41,Syderal!M:M)</f>
        <v>0</v>
      </c>
      <c r="S41" s="123">
        <f>SUMIF(Syderal!$A:$A,'Price Table 8 Syderal'!$A41,Syderal!N:N)</f>
        <v>0</v>
      </c>
      <c r="T41" s="123">
        <f>SUMIF(Syderal!$A:$A,'Price Table 8 Syderal'!$A41,Syderal!O:O)</f>
        <v>0</v>
      </c>
      <c r="U41" s="123">
        <f>SUMIF(Syderal!$A:$A,'Price Table 8 Syderal'!$A41,Syderal!P:P)</f>
        <v>0</v>
      </c>
      <c r="V41" s="123">
        <f>SUMIF(Syderal!$A:$A,'Price Table 8 Syderal'!$A41,Syderal!Q:Q)</f>
        <v>0</v>
      </c>
      <c r="W41" s="123"/>
      <c r="X41" s="123"/>
      <c r="Y41" s="28"/>
      <c r="Z41" s="28"/>
      <c r="AA41" s="28"/>
      <c r="AB41" s="28"/>
      <c r="AC41" s="28"/>
      <c r="AD41" s="28"/>
      <c r="AE41" s="28"/>
      <c r="AF41" s="28"/>
      <c r="AG41" s="28"/>
      <c r="AH41">
        <f t="shared" si="0"/>
        <v>0</v>
      </c>
    </row>
    <row r="42" spans="1:34" s="16" customFormat="1">
      <c r="B42" s="45"/>
      <c r="C42" s="55"/>
      <c r="D42" s="56" t="s">
        <v>562</v>
      </c>
      <c r="E42" s="57"/>
      <c r="F42" s="57"/>
      <c r="G42" s="57"/>
      <c r="H42" s="17"/>
      <c r="J42" s="29"/>
      <c r="K42" s="123">
        <f>SUMIF(Syderal!$A:$A,'Price Table 8 Syderal'!$A42,Syderal!F:F)</f>
        <v>0</v>
      </c>
      <c r="L42" s="123">
        <f>SUMIF(Syderal!$A:$A,'Price Table 8 Syderal'!$A42,Syderal!G:G)</f>
        <v>0</v>
      </c>
      <c r="M42" s="123">
        <f>SUMIF(Syderal!$A:$A,'Price Table 8 Syderal'!$A42,Syderal!H:H)</f>
        <v>0</v>
      </c>
      <c r="N42" s="123">
        <f>SUMIF(Syderal!$A:$A,'Price Table 8 Syderal'!$A42,Syderal!I:I)</f>
        <v>0</v>
      </c>
      <c r="O42" s="123">
        <f>SUMIF(Syderal!$A:$A,'Price Table 8 Syderal'!$A42,Syderal!J:J)</f>
        <v>0</v>
      </c>
      <c r="P42" s="123">
        <f>SUMIF(Syderal!$A:$A,'Price Table 8 Syderal'!$A42,Syderal!K:K)</f>
        <v>0</v>
      </c>
      <c r="Q42" s="123">
        <f>SUMIF(Syderal!$A:$A,'Price Table 8 Syderal'!$A42,Syderal!L:L)</f>
        <v>0</v>
      </c>
      <c r="R42" s="123">
        <f>SUMIF(Syderal!$A:$A,'Price Table 8 Syderal'!$A42,Syderal!M:M)</f>
        <v>0</v>
      </c>
      <c r="S42" s="123">
        <f>SUMIF(Syderal!$A:$A,'Price Table 8 Syderal'!$A42,Syderal!N:N)</f>
        <v>0</v>
      </c>
      <c r="T42" s="123">
        <f>SUMIF(Syderal!$A:$A,'Price Table 8 Syderal'!$A42,Syderal!O:O)</f>
        <v>0</v>
      </c>
      <c r="U42" s="123">
        <f>SUMIF(Syderal!$A:$A,'Price Table 8 Syderal'!$A42,Syderal!P:P)</f>
        <v>0</v>
      </c>
      <c r="V42" s="123">
        <f>SUMIF(Syderal!$A:$A,'Price Table 8 Syderal'!$A42,Syderal!Q:Q)</f>
        <v>0</v>
      </c>
      <c r="W42" s="123"/>
      <c r="X42" s="123"/>
      <c r="Y42" s="58"/>
      <c r="Z42" s="29"/>
      <c r="AA42" s="29"/>
      <c r="AB42" s="29"/>
      <c r="AC42" s="29"/>
      <c r="AD42" s="29"/>
      <c r="AE42" s="29"/>
      <c r="AF42" s="29"/>
      <c r="AG42" s="29"/>
      <c r="AH42">
        <f t="shared" si="0"/>
        <v>0</v>
      </c>
    </row>
    <row r="43" spans="1:34">
      <c r="B43" s="48" t="s">
        <v>157</v>
      </c>
      <c r="C43" s="52"/>
      <c r="D43" s="50"/>
      <c r="H43"/>
      <c r="J43" s="28"/>
      <c r="K43" s="123">
        <f>SUMIF(Syderal!$A:$A,'Price Table 8 Syderal'!$A43,Syderal!F:F)</f>
        <v>0</v>
      </c>
      <c r="L43" s="123">
        <f>SUMIF(Syderal!$A:$A,'Price Table 8 Syderal'!$A43,Syderal!G:G)</f>
        <v>0</v>
      </c>
      <c r="M43" s="123">
        <f>SUMIF(Syderal!$A:$A,'Price Table 8 Syderal'!$A43,Syderal!H:H)</f>
        <v>0</v>
      </c>
      <c r="N43" s="123">
        <f>SUMIF(Syderal!$A:$A,'Price Table 8 Syderal'!$A43,Syderal!I:I)</f>
        <v>0</v>
      </c>
      <c r="O43" s="123">
        <f>SUMIF(Syderal!$A:$A,'Price Table 8 Syderal'!$A43,Syderal!J:J)</f>
        <v>0</v>
      </c>
      <c r="P43" s="123">
        <f>SUMIF(Syderal!$A:$A,'Price Table 8 Syderal'!$A43,Syderal!K:K)</f>
        <v>0</v>
      </c>
      <c r="Q43" s="123">
        <f>SUMIF(Syderal!$A:$A,'Price Table 8 Syderal'!$A43,Syderal!L:L)</f>
        <v>0</v>
      </c>
      <c r="R43" s="123">
        <f>SUMIF(Syderal!$A:$A,'Price Table 8 Syderal'!$A43,Syderal!M:M)</f>
        <v>0</v>
      </c>
      <c r="S43" s="123">
        <f>SUMIF(Syderal!$A:$A,'Price Table 8 Syderal'!$A43,Syderal!N:N)</f>
        <v>0</v>
      </c>
      <c r="T43" s="123">
        <f>SUMIF(Syderal!$A:$A,'Price Table 8 Syderal'!$A43,Syderal!O:O)</f>
        <v>0</v>
      </c>
      <c r="U43" s="123">
        <f>SUMIF(Syderal!$A:$A,'Price Table 8 Syderal'!$A43,Syderal!P:P)</f>
        <v>0</v>
      </c>
      <c r="V43" s="123">
        <f>SUMIF(Syderal!$A:$A,'Price Table 8 Syderal'!$A43,Syderal!Q:Q)</f>
        <v>0</v>
      </c>
      <c r="W43" s="123"/>
      <c r="X43" s="123"/>
      <c r="Y43" s="28"/>
      <c r="Z43" s="28"/>
      <c r="AA43" s="28"/>
      <c r="AB43" s="28"/>
      <c r="AC43" s="28"/>
      <c r="AD43" s="28"/>
      <c r="AE43" s="28"/>
      <c r="AF43" s="28"/>
      <c r="AG43" s="28"/>
      <c r="AH43">
        <f t="shared" si="0"/>
        <v>0</v>
      </c>
    </row>
    <row r="44" spans="1:34">
      <c r="A44" t="s">
        <v>275</v>
      </c>
      <c r="B44" s="51" t="s">
        <v>594</v>
      </c>
      <c r="C44" s="53"/>
      <c r="D44" s="44"/>
      <c r="E44" s="37" t="s">
        <v>14</v>
      </c>
      <c r="F44" s="36" t="s">
        <v>13</v>
      </c>
      <c r="G44" s="36" t="str">
        <f>CONCATENATE(E44,F44)</f>
        <v>MISSIONManpower</v>
      </c>
      <c r="H44" s="16">
        <v>470000</v>
      </c>
      <c r="I44" t="s">
        <v>595</v>
      </c>
      <c r="J44" s="28"/>
      <c r="K44" s="123">
        <f>SUMIF(Syderal!$A:$A,'Price Table 8 Syderal'!$A44,Syderal!F:F)</f>
        <v>0</v>
      </c>
      <c r="L44" s="123">
        <f>SUMIF(Syderal!$A:$A,'Price Table 8 Syderal'!$A44,Syderal!G:G)</f>
        <v>0</v>
      </c>
      <c r="M44" s="123">
        <f>SUMIF(Syderal!$A:$A,'Price Table 8 Syderal'!$A44,Syderal!H:H)</f>
        <v>0</v>
      </c>
      <c r="N44" s="123">
        <f>SUMIF(Syderal!$A:$A,'Price Table 8 Syderal'!$A44,Syderal!I:I)</f>
        <v>0</v>
      </c>
      <c r="O44" s="123">
        <f>SUMIF(Syderal!$A:$A,'Price Table 8 Syderal'!$A44,Syderal!J:J)</f>
        <v>0</v>
      </c>
      <c r="P44" s="123">
        <f>SUMIF(Syderal!$A:$A,'Price Table 8 Syderal'!$A44,Syderal!K:K)</f>
        <v>0</v>
      </c>
      <c r="Q44" s="123">
        <f>SUMIF(Syderal!$A:$A,'Price Table 8 Syderal'!$A44,Syderal!L:L)</f>
        <v>0</v>
      </c>
      <c r="R44" s="123">
        <f>SUMIF(Syderal!$A:$A,'Price Table 8 Syderal'!$A44,Syderal!M:M)</f>
        <v>0</v>
      </c>
      <c r="S44" s="123">
        <f>SUMIF(Syderal!$A:$A,'Price Table 8 Syderal'!$A44,Syderal!N:N)</f>
        <v>0</v>
      </c>
      <c r="T44" s="123">
        <f>SUMIF(Syderal!$A:$A,'Price Table 8 Syderal'!$A44,Syderal!O:O)</f>
        <v>0</v>
      </c>
      <c r="U44" s="123">
        <f>SUMIF(Syderal!$A:$A,'Price Table 8 Syderal'!$A44,Syderal!P:P)</f>
        <v>0</v>
      </c>
      <c r="V44" s="123">
        <f>SUMIF(Syderal!$A:$A,'Price Table 8 Syderal'!$A44,Syderal!Q:Q)</f>
        <v>0</v>
      </c>
      <c r="W44" s="123"/>
      <c r="X44" s="123"/>
      <c r="Y44" s="29"/>
      <c r="Z44" s="28"/>
      <c r="AA44" s="28"/>
      <c r="AB44" s="28"/>
      <c r="AC44" s="28"/>
      <c r="AD44" s="28"/>
      <c r="AE44" s="28"/>
      <c r="AF44" s="28"/>
      <c r="AG44" s="28"/>
      <c r="AH44">
        <f t="shared" si="0"/>
        <v>0</v>
      </c>
    </row>
    <row r="45" spans="1:34">
      <c r="A45" t="s">
        <v>596</v>
      </c>
      <c r="B45" s="51" t="s">
        <v>597</v>
      </c>
      <c r="C45" s="53"/>
      <c r="D45" s="44"/>
      <c r="E45" s="37" t="s">
        <v>14</v>
      </c>
      <c r="F45" s="36" t="s">
        <v>117</v>
      </c>
      <c r="G45" s="36" t="str">
        <f>CONCATENATE(E45,F45)</f>
        <v>MISSIONProcurement</v>
      </c>
      <c r="H45" s="16">
        <v>470000</v>
      </c>
      <c r="I45" t="s">
        <v>595</v>
      </c>
      <c r="J45" s="28"/>
      <c r="K45" s="123">
        <f>SUMIF(Syderal!$A:$A,'Price Table 8 Syderal'!$A45,Syderal!F:F)</f>
        <v>0</v>
      </c>
      <c r="L45" s="123">
        <f>SUMIF(Syderal!$A:$A,'Price Table 8 Syderal'!$A45,Syderal!G:G)</f>
        <v>0</v>
      </c>
      <c r="M45" s="123">
        <f>SUMIF(Syderal!$A:$A,'Price Table 8 Syderal'!$A45,Syderal!H:H)</f>
        <v>0</v>
      </c>
      <c r="N45" s="123">
        <f>SUMIF(Syderal!$A:$A,'Price Table 8 Syderal'!$A45,Syderal!I:I)</f>
        <v>0</v>
      </c>
      <c r="O45" s="123">
        <f>SUMIF(Syderal!$A:$A,'Price Table 8 Syderal'!$A45,Syderal!J:J)</f>
        <v>0</v>
      </c>
      <c r="P45" s="123">
        <f>SUMIF(Syderal!$A:$A,'Price Table 8 Syderal'!$A45,Syderal!K:K)</f>
        <v>0</v>
      </c>
      <c r="Q45" s="123">
        <f>SUMIF(Syderal!$A:$A,'Price Table 8 Syderal'!$A45,Syderal!L:L)</f>
        <v>0</v>
      </c>
      <c r="R45" s="123">
        <f>SUMIF(Syderal!$A:$A,'Price Table 8 Syderal'!$A45,Syderal!M:M)</f>
        <v>0</v>
      </c>
      <c r="S45" s="123">
        <f>SUMIF(Syderal!$A:$A,'Price Table 8 Syderal'!$A45,Syderal!N:N)</f>
        <v>0</v>
      </c>
      <c r="T45" s="123">
        <f>SUMIF(Syderal!$A:$A,'Price Table 8 Syderal'!$A45,Syderal!O:O)</f>
        <v>0</v>
      </c>
      <c r="U45" s="123">
        <f>SUMIF(Syderal!$A:$A,'Price Table 8 Syderal'!$A45,Syderal!P:P)</f>
        <v>0</v>
      </c>
      <c r="V45" s="123">
        <f>SUMIF(Syderal!$A:$A,'Price Table 8 Syderal'!$A45,Syderal!Q:Q)</f>
        <v>0</v>
      </c>
      <c r="W45" s="123"/>
      <c r="X45" s="123"/>
      <c r="Y45" s="29"/>
      <c r="Z45" s="28"/>
      <c r="AA45" s="28"/>
      <c r="AB45" s="28"/>
      <c r="AC45" s="28"/>
      <c r="AD45" s="28"/>
      <c r="AE45" s="28"/>
      <c r="AF45" s="28"/>
      <c r="AG45" s="28"/>
      <c r="AH45">
        <f t="shared" si="0"/>
        <v>0</v>
      </c>
    </row>
    <row r="46" spans="1:34" s="16" customFormat="1">
      <c r="B46" s="45"/>
      <c r="C46" s="55"/>
      <c r="D46" s="56" t="s">
        <v>562</v>
      </c>
      <c r="E46" s="57"/>
      <c r="F46" s="57"/>
      <c r="G46" s="57"/>
      <c r="J46" s="29"/>
      <c r="K46" s="123">
        <f>SUMIF(Syderal!$A:$A,'Price Table 8 Syderal'!$A46,Syderal!F:F)</f>
        <v>0</v>
      </c>
      <c r="L46" s="123">
        <f>SUMIF(Syderal!$A:$A,'Price Table 8 Syderal'!$A46,Syderal!G:G)</f>
        <v>0</v>
      </c>
      <c r="M46" s="123">
        <f>SUMIF(Syderal!$A:$A,'Price Table 8 Syderal'!$A46,Syderal!H:H)</f>
        <v>0</v>
      </c>
      <c r="N46" s="123">
        <f>SUMIF(Syderal!$A:$A,'Price Table 8 Syderal'!$A46,Syderal!I:I)</f>
        <v>0</v>
      </c>
      <c r="O46" s="123">
        <f>SUMIF(Syderal!$A:$A,'Price Table 8 Syderal'!$A46,Syderal!J:J)</f>
        <v>0</v>
      </c>
      <c r="P46" s="123">
        <f>SUMIF(Syderal!$A:$A,'Price Table 8 Syderal'!$A46,Syderal!K:K)</f>
        <v>0</v>
      </c>
      <c r="Q46" s="123">
        <f>SUMIF(Syderal!$A:$A,'Price Table 8 Syderal'!$A46,Syderal!L:L)</f>
        <v>0</v>
      </c>
      <c r="R46" s="123">
        <f>SUMIF(Syderal!$A:$A,'Price Table 8 Syderal'!$A46,Syderal!M:M)</f>
        <v>0</v>
      </c>
      <c r="S46" s="123">
        <f>SUMIF(Syderal!$A:$A,'Price Table 8 Syderal'!$A46,Syderal!N:N)</f>
        <v>0</v>
      </c>
      <c r="T46" s="123">
        <f>SUMIF(Syderal!$A:$A,'Price Table 8 Syderal'!$A46,Syderal!O:O)</f>
        <v>0</v>
      </c>
      <c r="U46" s="123">
        <f>SUMIF(Syderal!$A:$A,'Price Table 8 Syderal'!$A46,Syderal!P:P)</f>
        <v>0</v>
      </c>
      <c r="V46" s="123">
        <f>SUMIF(Syderal!$A:$A,'Price Table 8 Syderal'!$A46,Syderal!Q:Q)</f>
        <v>0</v>
      </c>
      <c r="W46" s="123"/>
      <c r="X46" s="123"/>
      <c r="Y46" s="58"/>
      <c r="Z46" s="29"/>
      <c r="AA46" s="29"/>
      <c r="AB46" s="29"/>
      <c r="AC46" s="29"/>
      <c r="AD46" s="29"/>
      <c r="AE46" s="29"/>
      <c r="AF46" s="29"/>
      <c r="AG46" s="29"/>
      <c r="AH46">
        <f t="shared" si="0"/>
        <v>0</v>
      </c>
    </row>
    <row r="47" spans="1:34">
      <c r="B47" s="48" t="s">
        <v>598</v>
      </c>
      <c r="C47" s="52"/>
      <c r="D47" s="50"/>
      <c r="H47" s="17"/>
      <c r="J47" s="28"/>
      <c r="K47" s="123">
        <f>SUMIF(Syderal!$A:$A,'Price Table 8 Syderal'!$A47,Syderal!F:F)</f>
        <v>0</v>
      </c>
      <c r="L47" s="123">
        <f>SUMIF(Syderal!$A:$A,'Price Table 8 Syderal'!$A47,Syderal!G:G)</f>
        <v>0</v>
      </c>
      <c r="M47" s="123">
        <f>SUMIF(Syderal!$A:$A,'Price Table 8 Syderal'!$A47,Syderal!H:H)</f>
        <v>0</v>
      </c>
      <c r="N47" s="123">
        <f>SUMIF(Syderal!$A:$A,'Price Table 8 Syderal'!$A47,Syderal!I:I)</f>
        <v>0</v>
      </c>
      <c r="O47" s="123">
        <f>SUMIF(Syderal!$A:$A,'Price Table 8 Syderal'!$A47,Syderal!J:J)</f>
        <v>0</v>
      </c>
      <c r="P47" s="123">
        <f>SUMIF(Syderal!$A:$A,'Price Table 8 Syderal'!$A47,Syderal!K:K)</f>
        <v>0</v>
      </c>
      <c r="Q47" s="123">
        <f>SUMIF(Syderal!$A:$A,'Price Table 8 Syderal'!$A47,Syderal!L:L)</f>
        <v>0</v>
      </c>
      <c r="R47" s="123">
        <f>SUMIF(Syderal!$A:$A,'Price Table 8 Syderal'!$A47,Syderal!M:M)</f>
        <v>0</v>
      </c>
      <c r="S47" s="123">
        <f>SUMIF(Syderal!$A:$A,'Price Table 8 Syderal'!$A47,Syderal!N:N)</f>
        <v>0</v>
      </c>
      <c r="T47" s="123">
        <f>SUMIF(Syderal!$A:$A,'Price Table 8 Syderal'!$A47,Syderal!O:O)</f>
        <v>0</v>
      </c>
      <c r="U47" s="123">
        <f>SUMIF(Syderal!$A:$A,'Price Table 8 Syderal'!$A47,Syderal!P:P)</f>
        <v>0</v>
      </c>
      <c r="V47" s="123">
        <f>SUMIF(Syderal!$A:$A,'Price Table 8 Syderal'!$A47,Syderal!Q:Q)</f>
        <v>0</v>
      </c>
      <c r="W47" s="123"/>
      <c r="X47" s="123"/>
      <c r="Y47" s="28"/>
      <c r="Z47" s="28"/>
      <c r="AA47" s="28"/>
      <c r="AB47" s="28"/>
      <c r="AC47" s="28"/>
      <c r="AD47" s="28"/>
      <c r="AE47" s="28"/>
      <c r="AF47" s="28"/>
      <c r="AG47" s="28"/>
      <c r="AH47">
        <f t="shared" si="0"/>
        <v>0</v>
      </c>
    </row>
    <row r="48" spans="1:34">
      <c r="A48" t="s">
        <v>321</v>
      </c>
      <c r="B48" s="51" t="s">
        <v>599</v>
      </c>
      <c r="C48" s="53"/>
      <c r="D48" s="44"/>
      <c r="E48" s="36" t="s">
        <v>139</v>
      </c>
      <c r="F48" s="36" t="s">
        <v>13</v>
      </c>
      <c r="G48" s="36" t="str">
        <f>CONCATENATE(E48,F48)</f>
        <v>TECHManpower</v>
      </c>
      <c r="H48" s="63" t="s">
        <v>600</v>
      </c>
      <c r="I48" s="65" t="s">
        <v>601</v>
      </c>
      <c r="J48" s="28"/>
      <c r="K48" s="123">
        <f>SUMIF(Syderal!$A:$A,'Price Table 8 Syderal'!$A48,Syderal!F:F)</f>
        <v>0</v>
      </c>
      <c r="L48" s="123">
        <f>SUMIF(Syderal!$A:$A,'Price Table 8 Syderal'!$A48,Syderal!G:G)</f>
        <v>0</v>
      </c>
      <c r="M48" s="123">
        <f>SUMIF(Syderal!$A:$A,'Price Table 8 Syderal'!$A48,Syderal!H:H)</f>
        <v>0</v>
      </c>
      <c r="N48" s="123">
        <f>SUMIF(Syderal!$A:$A,'Price Table 8 Syderal'!$A48,Syderal!I:I)</f>
        <v>0</v>
      </c>
      <c r="O48" s="123">
        <f>SUMIF(Syderal!$A:$A,'Price Table 8 Syderal'!$A48,Syderal!J:J)</f>
        <v>0</v>
      </c>
      <c r="P48" s="123">
        <f>SUMIF(Syderal!$A:$A,'Price Table 8 Syderal'!$A48,Syderal!K:K)</f>
        <v>0</v>
      </c>
      <c r="Q48" s="123">
        <f>SUMIF(Syderal!$A:$A,'Price Table 8 Syderal'!$A48,Syderal!L:L)</f>
        <v>0</v>
      </c>
      <c r="R48" s="123">
        <f>SUMIF(Syderal!$A:$A,'Price Table 8 Syderal'!$A48,Syderal!M:M)</f>
        <v>0</v>
      </c>
      <c r="S48" s="123">
        <f>SUMIF(Syderal!$A:$A,'Price Table 8 Syderal'!$A48,Syderal!N:N)</f>
        <v>0</v>
      </c>
      <c r="T48" s="123">
        <f>SUMIF(Syderal!$A:$A,'Price Table 8 Syderal'!$A48,Syderal!O:O)</f>
        <v>0</v>
      </c>
      <c r="U48" s="123">
        <f>SUMIF(Syderal!$A:$A,'Price Table 8 Syderal'!$A48,Syderal!P:P)</f>
        <v>0</v>
      </c>
      <c r="V48" s="123">
        <f>SUMIF(Syderal!$A:$A,'Price Table 8 Syderal'!$A48,Syderal!Q:Q)</f>
        <v>0</v>
      </c>
      <c r="W48" s="123"/>
      <c r="X48" s="123"/>
      <c r="Y48" s="33"/>
      <c r="Z48" s="28"/>
      <c r="AA48" s="28"/>
      <c r="AB48" s="28"/>
      <c r="AC48" s="28"/>
      <c r="AD48" s="28"/>
      <c r="AE48" s="28"/>
      <c r="AF48" s="28"/>
      <c r="AG48" s="28"/>
      <c r="AH48">
        <f t="shared" si="0"/>
        <v>0</v>
      </c>
    </row>
    <row r="49" spans="1:34">
      <c r="A49" t="s">
        <v>602</v>
      </c>
      <c r="B49" s="51" t="s">
        <v>603</v>
      </c>
      <c r="C49" s="53"/>
      <c r="D49" s="44"/>
      <c r="E49" s="36" t="s">
        <v>139</v>
      </c>
      <c r="F49" s="36" t="s">
        <v>117</v>
      </c>
      <c r="G49" s="36" t="str">
        <f>CONCATENATE(E49,F49)</f>
        <v>TECHProcurement</v>
      </c>
      <c r="H49" s="63" t="s">
        <v>600</v>
      </c>
      <c r="I49" s="65" t="s">
        <v>601</v>
      </c>
      <c r="J49" s="28"/>
      <c r="K49" s="123">
        <f>SUMIF(Syderal!$A:$A,'Price Table 8 Syderal'!$A49,Syderal!F:F)</f>
        <v>0</v>
      </c>
      <c r="L49" s="123">
        <f>SUMIF(Syderal!$A:$A,'Price Table 8 Syderal'!$A49,Syderal!G:G)</f>
        <v>0</v>
      </c>
      <c r="M49" s="123">
        <f>SUMIF(Syderal!$A:$A,'Price Table 8 Syderal'!$A49,Syderal!H:H)</f>
        <v>0</v>
      </c>
      <c r="N49" s="123">
        <f>SUMIF(Syderal!$A:$A,'Price Table 8 Syderal'!$A49,Syderal!I:I)</f>
        <v>0</v>
      </c>
      <c r="O49" s="123">
        <f>SUMIF(Syderal!$A:$A,'Price Table 8 Syderal'!$A49,Syderal!J:J)</f>
        <v>0</v>
      </c>
      <c r="P49" s="123">
        <f>SUMIF(Syderal!$A:$A,'Price Table 8 Syderal'!$A49,Syderal!K:K)</f>
        <v>0</v>
      </c>
      <c r="Q49" s="123">
        <f>SUMIF(Syderal!$A:$A,'Price Table 8 Syderal'!$A49,Syderal!L:L)</f>
        <v>0</v>
      </c>
      <c r="R49" s="123">
        <f>SUMIF(Syderal!$A:$A,'Price Table 8 Syderal'!$A49,Syderal!M:M)</f>
        <v>0</v>
      </c>
      <c r="S49" s="123">
        <f>SUMIF(Syderal!$A:$A,'Price Table 8 Syderal'!$A49,Syderal!N:N)</f>
        <v>0</v>
      </c>
      <c r="T49" s="123">
        <f>SUMIF(Syderal!$A:$A,'Price Table 8 Syderal'!$A49,Syderal!O:O)</f>
        <v>0</v>
      </c>
      <c r="U49" s="123">
        <f>SUMIF(Syderal!$A:$A,'Price Table 8 Syderal'!$A49,Syderal!P:P)</f>
        <v>0</v>
      </c>
      <c r="V49" s="123">
        <f>SUMIF(Syderal!$A:$A,'Price Table 8 Syderal'!$A49,Syderal!Q:Q)</f>
        <v>0</v>
      </c>
      <c r="W49" s="123"/>
      <c r="X49" s="123"/>
      <c r="Y49" s="33"/>
      <c r="Z49" s="28"/>
      <c r="AA49" s="28"/>
      <c r="AB49" s="28"/>
      <c r="AC49" s="28"/>
      <c r="AD49" s="28"/>
      <c r="AE49" s="28"/>
      <c r="AF49" s="28"/>
      <c r="AG49" s="28"/>
      <c r="AH49">
        <f t="shared" si="0"/>
        <v>0</v>
      </c>
    </row>
    <row r="50" spans="1:34" s="16" customFormat="1">
      <c r="B50" s="45"/>
      <c r="C50" s="55"/>
      <c r="D50" s="56" t="s">
        <v>562</v>
      </c>
      <c r="E50" s="57"/>
      <c r="F50" s="57"/>
      <c r="G50" s="57"/>
      <c r="H50" s="63"/>
      <c r="I50" s="65"/>
      <c r="J50" s="29"/>
      <c r="K50" s="123">
        <f>SUMIF(Syderal!$A:$A,'Price Table 8 Syderal'!$A50,Syderal!F:F)</f>
        <v>0</v>
      </c>
      <c r="L50" s="123">
        <f>SUMIF(Syderal!$A:$A,'Price Table 8 Syderal'!$A50,Syderal!G:G)</f>
        <v>0</v>
      </c>
      <c r="M50" s="123">
        <f>SUMIF(Syderal!$A:$A,'Price Table 8 Syderal'!$A50,Syderal!H:H)</f>
        <v>0</v>
      </c>
      <c r="N50" s="123">
        <f>SUMIF(Syderal!$A:$A,'Price Table 8 Syderal'!$A50,Syderal!I:I)</f>
        <v>0</v>
      </c>
      <c r="O50" s="123">
        <f>SUMIF(Syderal!$A:$A,'Price Table 8 Syderal'!$A50,Syderal!J:J)</f>
        <v>0</v>
      </c>
      <c r="P50" s="123">
        <f>SUMIF(Syderal!$A:$A,'Price Table 8 Syderal'!$A50,Syderal!K:K)</f>
        <v>0</v>
      </c>
      <c r="Q50" s="123">
        <f>SUMIF(Syderal!$A:$A,'Price Table 8 Syderal'!$A50,Syderal!L:L)</f>
        <v>0</v>
      </c>
      <c r="R50" s="123">
        <f>SUMIF(Syderal!$A:$A,'Price Table 8 Syderal'!$A50,Syderal!M:M)</f>
        <v>0</v>
      </c>
      <c r="S50" s="123">
        <f>SUMIF(Syderal!$A:$A,'Price Table 8 Syderal'!$A50,Syderal!N:N)</f>
        <v>0</v>
      </c>
      <c r="T50" s="123">
        <f>SUMIF(Syderal!$A:$A,'Price Table 8 Syderal'!$A50,Syderal!O:O)</f>
        <v>0</v>
      </c>
      <c r="U50" s="123">
        <f>SUMIF(Syderal!$A:$A,'Price Table 8 Syderal'!$A50,Syderal!P:P)</f>
        <v>0</v>
      </c>
      <c r="V50" s="123">
        <f>SUMIF(Syderal!$A:$A,'Price Table 8 Syderal'!$A50,Syderal!Q:Q)</f>
        <v>0</v>
      </c>
      <c r="W50" s="123"/>
      <c r="X50" s="123"/>
      <c r="Y50" s="58"/>
      <c r="Z50" s="29"/>
      <c r="AA50" s="29"/>
      <c r="AB50" s="29"/>
      <c r="AC50" s="29"/>
      <c r="AD50" s="29"/>
      <c r="AE50" s="29"/>
      <c r="AF50" s="29"/>
      <c r="AG50" s="29"/>
      <c r="AH50">
        <f t="shared" si="0"/>
        <v>0</v>
      </c>
    </row>
    <row r="51" spans="1:34">
      <c r="B51" s="48" t="s">
        <v>604</v>
      </c>
      <c r="C51" s="52"/>
      <c r="D51" s="50"/>
      <c r="H51" s="17"/>
      <c r="J51" s="28"/>
      <c r="K51" s="123">
        <f>SUMIF(Syderal!$A:$A,'Price Table 8 Syderal'!$A51,Syderal!F:F)</f>
        <v>0</v>
      </c>
      <c r="L51" s="123">
        <f>SUMIF(Syderal!$A:$A,'Price Table 8 Syderal'!$A51,Syderal!G:G)</f>
        <v>0</v>
      </c>
      <c r="M51" s="123">
        <f>SUMIF(Syderal!$A:$A,'Price Table 8 Syderal'!$A51,Syderal!H:H)</f>
        <v>0</v>
      </c>
      <c r="N51" s="123">
        <f>SUMIF(Syderal!$A:$A,'Price Table 8 Syderal'!$A51,Syderal!I:I)</f>
        <v>0</v>
      </c>
      <c r="O51" s="123">
        <f>SUMIF(Syderal!$A:$A,'Price Table 8 Syderal'!$A51,Syderal!J:J)</f>
        <v>0</v>
      </c>
      <c r="P51" s="123">
        <f>SUMIF(Syderal!$A:$A,'Price Table 8 Syderal'!$A51,Syderal!K:K)</f>
        <v>0</v>
      </c>
      <c r="Q51" s="123">
        <f>SUMIF(Syderal!$A:$A,'Price Table 8 Syderal'!$A51,Syderal!L:L)</f>
        <v>0</v>
      </c>
      <c r="R51" s="123">
        <f>SUMIF(Syderal!$A:$A,'Price Table 8 Syderal'!$A51,Syderal!M:M)</f>
        <v>0</v>
      </c>
      <c r="S51" s="123">
        <f>SUMIF(Syderal!$A:$A,'Price Table 8 Syderal'!$A51,Syderal!N:N)</f>
        <v>0</v>
      </c>
      <c r="T51" s="123">
        <f>SUMIF(Syderal!$A:$A,'Price Table 8 Syderal'!$A51,Syderal!O:O)</f>
        <v>0</v>
      </c>
      <c r="U51" s="123">
        <f>SUMIF(Syderal!$A:$A,'Price Table 8 Syderal'!$A51,Syderal!P:P)</f>
        <v>0</v>
      </c>
      <c r="V51" s="123">
        <f>SUMIF(Syderal!$A:$A,'Price Table 8 Syderal'!$A51,Syderal!Q:Q)</f>
        <v>0</v>
      </c>
      <c r="W51" s="123"/>
      <c r="X51" s="123"/>
      <c r="Y51" s="28"/>
      <c r="Z51" s="28"/>
      <c r="AA51" s="28"/>
      <c r="AB51" s="28"/>
      <c r="AC51" s="28"/>
      <c r="AD51" s="28"/>
      <c r="AE51" s="28"/>
      <c r="AF51" s="28"/>
      <c r="AG51" s="28"/>
      <c r="AH51">
        <f t="shared" si="0"/>
        <v>0</v>
      </c>
    </row>
    <row r="52" spans="1:34">
      <c r="A52" t="s">
        <v>336</v>
      </c>
      <c r="B52" s="51" t="s">
        <v>605</v>
      </c>
      <c r="C52" s="53"/>
      <c r="D52" s="44"/>
      <c r="E52" s="36" t="s">
        <v>139</v>
      </c>
      <c r="F52" s="36" t="s">
        <v>13</v>
      </c>
      <c r="G52" s="36" t="str">
        <f>CONCATENATE(E52,F52)</f>
        <v>TECHManpower</v>
      </c>
      <c r="H52" s="63">
        <v>490600</v>
      </c>
      <c r="J52" s="28"/>
      <c r="K52" s="123">
        <f>SUMIF(Syderal!$A:$A,'Price Table 8 Syderal'!$A52,Syderal!F:F)</f>
        <v>0</v>
      </c>
      <c r="L52" s="123">
        <f>SUMIF(Syderal!$A:$A,'Price Table 8 Syderal'!$A52,Syderal!G:G)</f>
        <v>0</v>
      </c>
      <c r="M52" s="123">
        <f>SUMIF(Syderal!$A:$A,'Price Table 8 Syderal'!$A52,Syderal!H:H)</f>
        <v>0</v>
      </c>
      <c r="N52" s="123">
        <f>SUMIF(Syderal!$A:$A,'Price Table 8 Syderal'!$A52,Syderal!I:I)</f>
        <v>0</v>
      </c>
      <c r="O52" s="123">
        <f>SUMIF(Syderal!$A:$A,'Price Table 8 Syderal'!$A52,Syderal!J:J)</f>
        <v>0</v>
      </c>
      <c r="P52" s="123">
        <f>SUMIF(Syderal!$A:$A,'Price Table 8 Syderal'!$A52,Syderal!K:K)</f>
        <v>0</v>
      </c>
      <c r="Q52" s="123">
        <f>SUMIF(Syderal!$A:$A,'Price Table 8 Syderal'!$A52,Syderal!L:L)</f>
        <v>0</v>
      </c>
      <c r="R52" s="123">
        <f>SUMIF(Syderal!$A:$A,'Price Table 8 Syderal'!$A52,Syderal!M:M)</f>
        <v>0</v>
      </c>
      <c r="S52" s="123">
        <f>SUMIF(Syderal!$A:$A,'Price Table 8 Syderal'!$A52,Syderal!N:N)</f>
        <v>0</v>
      </c>
      <c r="T52" s="123">
        <f>SUMIF(Syderal!$A:$A,'Price Table 8 Syderal'!$A52,Syderal!O:O)</f>
        <v>0</v>
      </c>
      <c r="U52" s="123">
        <f>SUMIF(Syderal!$A:$A,'Price Table 8 Syderal'!$A52,Syderal!P:P)</f>
        <v>0</v>
      </c>
      <c r="V52" s="123">
        <f>SUMIF(Syderal!$A:$A,'Price Table 8 Syderal'!$A52,Syderal!Q:Q)</f>
        <v>0</v>
      </c>
      <c r="W52" s="123"/>
      <c r="X52" s="123"/>
      <c r="Y52" s="33"/>
      <c r="Z52" s="28"/>
      <c r="AA52" s="28"/>
      <c r="AB52" s="28"/>
      <c r="AC52" s="28"/>
      <c r="AD52" s="28"/>
      <c r="AE52" s="28"/>
      <c r="AF52" s="28"/>
      <c r="AG52" s="28"/>
      <c r="AH52">
        <f t="shared" si="0"/>
        <v>0</v>
      </c>
    </row>
    <row r="53" spans="1:34">
      <c r="A53" t="s">
        <v>606</v>
      </c>
      <c r="B53" s="51" t="s">
        <v>607</v>
      </c>
      <c r="C53" s="53"/>
      <c r="D53" s="44"/>
      <c r="E53" s="36" t="s">
        <v>139</v>
      </c>
      <c r="F53" s="36" t="s">
        <v>117</v>
      </c>
      <c r="G53" s="36" t="str">
        <f>CONCATENATE(E53,F53)</f>
        <v>TECHProcurement</v>
      </c>
      <c r="H53" s="63">
        <v>490600</v>
      </c>
      <c r="J53" s="28"/>
      <c r="K53" s="123">
        <f>SUMIF(Syderal!$A:$A,'Price Table 8 Syderal'!$A53,Syderal!F:F)</f>
        <v>0</v>
      </c>
      <c r="L53" s="123">
        <f>SUMIF(Syderal!$A:$A,'Price Table 8 Syderal'!$A53,Syderal!G:G)</f>
        <v>0</v>
      </c>
      <c r="M53" s="123">
        <f>SUMIF(Syderal!$A:$A,'Price Table 8 Syderal'!$A53,Syderal!H:H)</f>
        <v>0</v>
      </c>
      <c r="N53" s="123">
        <f>SUMIF(Syderal!$A:$A,'Price Table 8 Syderal'!$A53,Syderal!I:I)</f>
        <v>0</v>
      </c>
      <c r="O53" s="123">
        <f>SUMIF(Syderal!$A:$A,'Price Table 8 Syderal'!$A53,Syderal!J:J)</f>
        <v>0</v>
      </c>
      <c r="P53" s="123">
        <f>SUMIF(Syderal!$A:$A,'Price Table 8 Syderal'!$A53,Syderal!K:K)</f>
        <v>0</v>
      </c>
      <c r="Q53" s="123">
        <f>SUMIF(Syderal!$A:$A,'Price Table 8 Syderal'!$A53,Syderal!L:L)</f>
        <v>0</v>
      </c>
      <c r="R53" s="123">
        <f>SUMIF(Syderal!$A:$A,'Price Table 8 Syderal'!$A53,Syderal!M:M)</f>
        <v>0</v>
      </c>
      <c r="S53" s="123">
        <f>SUMIF(Syderal!$A:$A,'Price Table 8 Syderal'!$A53,Syderal!N:N)</f>
        <v>0</v>
      </c>
      <c r="T53" s="123">
        <f>SUMIF(Syderal!$A:$A,'Price Table 8 Syderal'!$A53,Syderal!O:O)</f>
        <v>0</v>
      </c>
      <c r="U53" s="123">
        <f>SUMIF(Syderal!$A:$A,'Price Table 8 Syderal'!$A53,Syderal!P:P)</f>
        <v>0</v>
      </c>
      <c r="V53" s="123">
        <f>SUMIF(Syderal!$A:$A,'Price Table 8 Syderal'!$A53,Syderal!Q:Q)</f>
        <v>0</v>
      </c>
      <c r="W53" s="123"/>
      <c r="X53" s="123"/>
      <c r="Y53" s="33"/>
      <c r="Z53" s="28"/>
      <c r="AA53" s="28"/>
      <c r="AB53" s="28"/>
      <c r="AC53" s="28"/>
      <c r="AD53" s="28"/>
      <c r="AE53" s="28"/>
      <c r="AF53" s="28"/>
      <c r="AG53" s="28"/>
      <c r="AH53">
        <f t="shared" si="0"/>
        <v>0</v>
      </c>
    </row>
    <row r="54" spans="1:34" s="16" customFormat="1">
      <c r="B54" s="45"/>
      <c r="C54" s="55"/>
      <c r="D54" s="56" t="s">
        <v>562</v>
      </c>
      <c r="E54" s="57"/>
      <c r="F54" s="57"/>
      <c r="G54" s="57"/>
      <c r="H54" s="63"/>
      <c r="J54" s="29"/>
      <c r="K54" s="123">
        <f>SUMIF(Syderal!$A:$A,'Price Table 8 Syderal'!$A54,Syderal!F:F)</f>
        <v>0</v>
      </c>
      <c r="L54" s="123">
        <f>SUMIF(Syderal!$A:$A,'Price Table 8 Syderal'!$A54,Syderal!G:G)</f>
        <v>0</v>
      </c>
      <c r="M54" s="123">
        <f>SUMIF(Syderal!$A:$A,'Price Table 8 Syderal'!$A54,Syderal!H:H)</f>
        <v>0</v>
      </c>
      <c r="N54" s="123">
        <f>SUMIF(Syderal!$A:$A,'Price Table 8 Syderal'!$A54,Syderal!I:I)</f>
        <v>0</v>
      </c>
      <c r="O54" s="123">
        <f>SUMIF(Syderal!$A:$A,'Price Table 8 Syderal'!$A54,Syderal!J:J)</f>
        <v>0</v>
      </c>
      <c r="P54" s="123">
        <f>SUMIF(Syderal!$A:$A,'Price Table 8 Syderal'!$A54,Syderal!K:K)</f>
        <v>0</v>
      </c>
      <c r="Q54" s="123">
        <f>SUMIF(Syderal!$A:$A,'Price Table 8 Syderal'!$A54,Syderal!L:L)</f>
        <v>0</v>
      </c>
      <c r="R54" s="123">
        <f>SUMIF(Syderal!$A:$A,'Price Table 8 Syderal'!$A54,Syderal!M:M)</f>
        <v>0</v>
      </c>
      <c r="S54" s="123">
        <f>SUMIF(Syderal!$A:$A,'Price Table 8 Syderal'!$A54,Syderal!N:N)</f>
        <v>0</v>
      </c>
      <c r="T54" s="123">
        <f>SUMIF(Syderal!$A:$A,'Price Table 8 Syderal'!$A54,Syderal!O:O)</f>
        <v>0</v>
      </c>
      <c r="U54" s="123">
        <f>SUMIF(Syderal!$A:$A,'Price Table 8 Syderal'!$A54,Syderal!P:P)</f>
        <v>0</v>
      </c>
      <c r="V54" s="123">
        <f>SUMIF(Syderal!$A:$A,'Price Table 8 Syderal'!$A54,Syderal!Q:Q)</f>
        <v>0</v>
      </c>
      <c r="W54" s="123"/>
      <c r="X54" s="123"/>
      <c r="Y54" s="58"/>
      <c r="Z54" s="29"/>
      <c r="AA54" s="29"/>
      <c r="AB54" s="29"/>
      <c r="AC54" s="29"/>
      <c r="AD54" s="29"/>
      <c r="AE54" s="29"/>
      <c r="AF54" s="29"/>
      <c r="AG54" s="29"/>
      <c r="AH54">
        <f t="shared" si="0"/>
        <v>0</v>
      </c>
    </row>
    <row r="55" spans="1:34">
      <c r="B55" s="48" t="s">
        <v>642</v>
      </c>
      <c r="C55" s="52"/>
      <c r="D55" s="50"/>
      <c r="H55" s="17"/>
      <c r="J55" s="28"/>
      <c r="K55" s="123">
        <f>SUMIF(Syderal!$A:$A,'Price Table 8 Syderal'!$A55,Syderal!F:F)</f>
        <v>0</v>
      </c>
      <c r="L55" s="123">
        <f>SUMIF(Syderal!$A:$A,'Price Table 8 Syderal'!$A55,Syderal!G:G)</f>
        <v>0</v>
      </c>
      <c r="M55" s="123">
        <f>SUMIF(Syderal!$A:$A,'Price Table 8 Syderal'!$A55,Syderal!H:H)</f>
        <v>0</v>
      </c>
      <c r="N55" s="123">
        <f>SUMIF(Syderal!$A:$A,'Price Table 8 Syderal'!$A55,Syderal!I:I)</f>
        <v>0</v>
      </c>
      <c r="O55" s="123">
        <f>SUMIF(Syderal!$A:$A,'Price Table 8 Syderal'!$A55,Syderal!J:J)</f>
        <v>0</v>
      </c>
      <c r="P55" s="123">
        <f>SUMIF(Syderal!$A:$A,'Price Table 8 Syderal'!$A55,Syderal!K:K)</f>
        <v>0</v>
      </c>
      <c r="Q55" s="123">
        <f>SUMIF(Syderal!$A:$A,'Price Table 8 Syderal'!$A55,Syderal!L:L)</f>
        <v>0</v>
      </c>
      <c r="R55" s="123">
        <f>SUMIF(Syderal!$A:$A,'Price Table 8 Syderal'!$A55,Syderal!M:M)</f>
        <v>0</v>
      </c>
      <c r="S55" s="123">
        <f>SUMIF(Syderal!$A:$A,'Price Table 8 Syderal'!$A55,Syderal!N:N)</f>
        <v>0</v>
      </c>
      <c r="T55" s="123">
        <f>SUMIF(Syderal!$A:$A,'Price Table 8 Syderal'!$A55,Syderal!O:O)</f>
        <v>0</v>
      </c>
      <c r="U55" s="123">
        <f>SUMIF(Syderal!$A:$A,'Price Table 8 Syderal'!$A55,Syderal!P:P)</f>
        <v>0</v>
      </c>
      <c r="V55" s="123">
        <f>SUMIF(Syderal!$A:$A,'Price Table 8 Syderal'!$A55,Syderal!Q:Q)</f>
        <v>0</v>
      </c>
      <c r="W55" s="123"/>
      <c r="X55" s="123"/>
      <c r="Y55" s="28"/>
      <c r="Z55" s="28"/>
      <c r="AA55" s="28"/>
      <c r="AB55" s="28"/>
      <c r="AC55" s="28"/>
      <c r="AD55" s="28"/>
      <c r="AE55" s="28"/>
      <c r="AF55" s="28"/>
      <c r="AG55" s="28"/>
      <c r="AH55">
        <f t="shared" si="0"/>
        <v>0</v>
      </c>
    </row>
    <row r="56" spans="1:34">
      <c r="A56" t="s">
        <v>331</v>
      </c>
      <c r="B56" s="51" t="s">
        <v>609</v>
      </c>
      <c r="C56" s="53"/>
      <c r="D56" s="44"/>
      <c r="E56" s="37" t="s">
        <v>14</v>
      </c>
      <c r="F56" s="36" t="s">
        <v>117</v>
      </c>
      <c r="G56" s="36" t="str">
        <f>CONCATENATE(E56,F56)</f>
        <v>MISSIONProcurement</v>
      </c>
      <c r="H56" s="16">
        <v>490540</v>
      </c>
      <c r="J56" s="28"/>
      <c r="K56" s="123">
        <f>SUMIF(Syderal!$A:$A,'Price Table 8 Syderal'!$A56,Syderal!F:F)</f>
        <v>0</v>
      </c>
      <c r="L56" s="123">
        <f>SUMIF(Syderal!$A:$A,'Price Table 8 Syderal'!$A56,Syderal!G:G)</f>
        <v>0</v>
      </c>
      <c r="M56" s="123">
        <f>SUMIF(Syderal!$A:$A,'Price Table 8 Syderal'!$A56,Syderal!H:H)</f>
        <v>0</v>
      </c>
      <c r="N56" s="123">
        <f>SUMIF(Syderal!$A:$A,'Price Table 8 Syderal'!$A56,Syderal!I:I)</f>
        <v>0</v>
      </c>
      <c r="O56" s="123">
        <f>SUMIF(Syderal!$A:$A,'Price Table 8 Syderal'!$A56,Syderal!J:J)</f>
        <v>0</v>
      </c>
      <c r="P56" s="123">
        <f>SUMIF(Syderal!$A:$A,'Price Table 8 Syderal'!$A56,Syderal!K:K)</f>
        <v>0</v>
      </c>
      <c r="Q56" s="123">
        <f>SUMIF(Syderal!$A:$A,'Price Table 8 Syderal'!$A56,Syderal!L:L)</f>
        <v>0</v>
      </c>
      <c r="R56" s="123">
        <f>SUMIF(Syderal!$A:$A,'Price Table 8 Syderal'!$A56,Syderal!M:M)</f>
        <v>0</v>
      </c>
      <c r="S56" s="123">
        <f>SUMIF(Syderal!$A:$A,'Price Table 8 Syderal'!$A56,Syderal!N:N)</f>
        <v>0</v>
      </c>
      <c r="T56" s="123">
        <f>SUMIF(Syderal!$A:$A,'Price Table 8 Syderal'!$A56,Syderal!O:O)</f>
        <v>0</v>
      </c>
      <c r="U56" s="123">
        <f>SUMIF(Syderal!$A:$A,'Price Table 8 Syderal'!$A56,Syderal!P:P)</f>
        <v>0</v>
      </c>
      <c r="V56" s="123">
        <f>SUMIF(Syderal!$A:$A,'Price Table 8 Syderal'!$A56,Syderal!Q:Q)</f>
        <v>0</v>
      </c>
      <c r="W56" s="123"/>
      <c r="X56" s="123"/>
      <c r="Y56" s="29"/>
      <c r="Z56" s="28"/>
      <c r="AA56" s="28"/>
      <c r="AB56" s="28"/>
      <c r="AC56" s="28"/>
      <c r="AD56" s="28"/>
      <c r="AE56" s="28"/>
      <c r="AF56" s="28"/>
      <c r="AG56" s="28"/>
      <c r="AH56">
        <f t="shared" si="0"/>
        <v>0</v>
      </c>
    </row>
    <row r="57" spans="1:34" s="16" customFormat="1">
      <c r="B57" s="45"/>
      <c r="C57" s="55"/>
      <c r="D57" s="56" t="s">
        <v>562</v>
      </c>
      <c r="E57" s="57"/>
      <c r="F57" s="57"/>
      <c r="G57" s="57"/>
      <c r="H57" s="17"/>
      <c r="J57" s="29"/>
      <c r="K57" s="123">
        <f>SUMIF(Syderal!$A:$A,'Price Table 8 Syderal'!$A57,Syderal!F:F)</f>
        <v>0</v>
      </c>
      <c r="L57" s="123">
        <f>SUMIF(Syderal!$A:$A,'Price Table 8 Syderal'!$A57,Syderal!G:G)</f>
        <v>0</v>
      </c>
      <c r="M57" s="123">
        <f>SUMIF(Syderal!$A:$A,'Price Table 8 Syderal'!$A57,Syderal!H:H)</f>
        <v>0</v>
      </c>
      <c r="N57" s="123">
        <f>SUMIF(Syderal!$A:$A,'Price Table 8 Syderal'!$A57,Syderal!I:I)</f>
        <v>0</v>
      </c>
      <c r="O57" s="123">
        <f>SUMIF(Syderal!$A:$A,'Price Table 8 Syderal'!$A57,Syderal!J:J)</f>
        <v>0</v>
      </c>
      <c r="P57" s="123">
        <f>SUMIF(Syderal!$A:$A,'Price Table 8 Syderal'!$A57,Syderal!K:K)</f>
        <v>0</v>
      </c>
      <c r="Q57" s="123">
        <f>SUMIF(Syderal!$A:$A,'Price Table 8 Syderal'!$A57,Syderal!L:L)</f>
        <v>0</v>
      </c>
      <c r="R57" s="123">
        <f>SUMIF(Syderal!$A:$A,'Price Table 8 Syderal'!$A57,Syderal!M:M)</f>
        <v>0</v>
      </c>
      <c r="S57" s="123">
        <f>SUMIF(Syderal!$A:$A,'Price Table 8 Syderal'!$A57,Syderal!N:N)</f>
        <v>0</v>
      </c>
      <c r="T57" s="123">
        <f>SUMIF(Syderal!$A:$A,'Price Table 8 Syderal'!$A57,Syderal!O:O)</f>
        <v>0</v>
      </c>
      <c r="U57" s="123">
        <f>SUMIF(Syderal!$A:$A,'Price Table 8 Syderal'!$A57,Syderal!P:P)</f>
        <v>0</v>
      </c>
      <c r="V57" s="123">
        <f>SUMIF(Syderal!$A:$A,'Price Table 8 Syderal'!$A57,Syderal!Q:Q)</f>
        <v>0</v>
      </c>
      <c r="W57" s="123"/>
      <c r="X57" s="123"/>
      <c r="Y57" s="58"/>
      <c r="Z57" s="29"/>
      <c r="AA57" s="29"/>
      <c r="AB57" s="29"/>
      <c r="AC57" s="29"/>
      <c r="AD57" s="29"/>
      <c r="AE57" s="29"/>
      <c r="AF57" s="29"/>
      <c r="AG57" s="29"/>
      <c r="AH57">
        <f t="shared" si="0"/>
        <v>0</v>
      </c>
    </row>
    <row r="58" spans="1:34">
      <c r="B58" s="46" t="s">
        <v>611</v>
      </c>
      <c r="C58" s="47"/>
      <c r="D58" s="41"/>
      <c r="H58"/>
      <c r="J58" s="28"/>
      <c r="K58" s="123">
        <f>SUMIF(Syderal!$A:$A,'Price Table 8 Syderal'!$A58,Syderal!F:F)</f>
        <v>0</v>
      </c>
      <c r="L58" s="123">
        <f>SUMIF(Syderal!$A:$A,'Price Table 8 Syderal'!$A58,Syderal!G:G)</f>
        <v>0</v>
      </c>
      <c r="M58" s="123">
        <f>SUMIF(Syderal!$A:$A,'Price Table 8 Syderal'!$A58,Syderal!H:H)</f>
        <v>0</v>
      </c>
      <c r="N58" s="123">
        <f>SUMIF(Syderal!$A:$A,'Price Table 8 Syderal'!$A58,Syderal!I:I)</f>
        <v>0</v>
      </c>
      <c r="O58" s="123">
        <f>SUMIF(Syderal!$A:$A,'Price Table 8 Syderal'!$A58,Syderal!J:J)</f>
        <v>0</v>
      </c>
      <c r="P58" s="123">
        <f>SUMIF(Syderal!$A:$A,'Price Table 8 Syderal'!$A58,Syderal!K:K)</f>
        <v>0</v>
      </c>
      <c r="Q58" s="123">
        <f>SUMIF(Syderal!$A:$A,'Price Table 8 Syderal'!$A58,Syderal!L:L)</f>
        <v>0</v>
      </c>
      <c r="R58" s="123">
        <f>SUMIF(Syderal!$A:$A,'Price Table 8 Syderal'!$A58,Syderal!M:M)</f>
        <v>0</v>
      </c>
      <c r="S58" s="123">
        <f>SUMIF(Syderal!$A:$A,'Price Table 8 Syderal'!$A58,Syderal!N:N)</f>
        <v>0</v>
      </c>
      <c r="T58" s="123">
        <f>SUMIF(Syderal!$A:$A,'Price Table 8 Syderal'!$A58,Syderal!O:O)</f>
        <v>0</v>
      </c>
      <c r="U58" s="123">
        <f>SUMIF(Syderal!$A:$A,'Price Table 8 Syderal'!$A58,Syderal!P:P)</f>
        <v>0</v>
      </c>
      <c r="V58" s="123">
        <f>SUMIF(Syderal!$A:$A,'Price Table 8 Syderal'!$A58,Syderal!Q:Q)</f>
        <v>0</v>
      </c>
      <c r="W58" s="123"/>
      <c r="X58" s="123"/>
      <c r="Y58" s="28"/>
      <c r="Z58" s="28"/>
      <c r="AA58" s="28"/>
      <c r="AB58" s="28"/>
      <c r="AC58" s="28"/>
      <c r="AD58" s="28"/>
      <c r="AE58" s="28"/>
      <c r="AF58" s="28"/>
      <c r="AG58" s="28"/>
      <c r="AH58">
        <f t="shared" si="0"/>
        <v>0</v>
      </c>
    </row>
    <row r="59" spans="1:34">
      <c r="B59" s="48" t="s">
        <v>612</v>
      </c>
      <c r="C59" s="49"/>
      <c r="D59" s="50"/>
      <c r="H59"/>
      <c r="J59" s="28"/>
      <c r="K59" s="123">
        <f>SUMIF(Syderal!$A:$A,'Price Table 8 Syderal'!$A59,Syderal!F:F)</f>
        <v>0</v>
      </c>
      <c r="L59" s="123">
        <f>SUMIF(Syderal!$A:$A,'Price Table 8 Syderal'!$A59,Syderal!G:G)</f>
        <v>0</v>
      </c>
      <c r="M59" s="123">
        <f>SUMIF(Syderal!$A:$A,'Price Table 8 Syderal'!$A59,Syderal!H:H)</f>
        <v>0</v>
      </c>
      <c r="N59" s="123">
        <f>SUMIF(Syderal!$A:$A,'Price Table 8 Syderal'!$A59,Syderal!I:I)</f>
        <v>0</v>
      </c>
      <c r="O59" s="123">
        <f>SUMIF(Syderal!$A:$A,'Price Table 8 Syderal'!$A59,Syderal!J:J)</f>
        <v>0</v>
      </c>
      <c r="P59" s="123">
        <f>SUMIF(Syderal!$A:$A,'Price Table 8 Syderal'!$A59,Syderal!K:K)</f>
        <v>0</v>
      </c>
      <c r="Q59" s="123">
        <f>SUMIF(Syderal!$A:$A,'Price Table 8 Syderal'!$A59,Syderal!L:L)</f>
        <v>0</v>
      </c>
      <c r="R59" s="123">
        <f>SUMIF(Syderal!$A:$A,'Price Table 8 Syderal'!$A59,Syderal!M:M)</f>
        <v>0</v>
      </c>
      <c r="S59" s="123">
        <f>SUMIF(Syderal!$A:$A,'Price Table 8 Syderal'!$A59,Syderal!N:N)</f>
        <v>0</v>
      </c>
      <c r="T59" s="123">
        <f>SUMIF(Syderal!$A:$A,'Price Table 8 Syderal'!$A59,Syderal!O:O)</f>
        <v>0</v>
      </c>
      <c r="U59" s="123">
        <f>SUMIF(Syderal!$A:$A,'Price Table 8 Syderal'!$A59,Syderal!P:P)</f>
        <v>0</v>
      </c>
      <c r="V59" s="123">
        <f>SUMIF(Syderal!$A:$A,'Price Table 8 Syderal'!$A59,Syderal!Q:Q)</f>
        <v>0</v>
      </c>
      <c r="W59" s="123"/>
      <c r="X59" s="123"/>
      <c r="Y59" s="28"/>
      <c r="Z59" s="28"/>
      <c r="AA59" s="28"/>
      <c r="AB59" s="28"/>
      <c r="AC59" s="28"/>
      <c r="AD59" s="28"/>
      <c r="AE59" s="28"/>
      <c r="AF59" s="28"/>
      <c r="AG59" s="28"/>
      <c r="AH59">
        <f t="shared" si="0"/>
        <v>0</v>
      </c>
    </row>
    <row r="60" spans="1:34">
      <c r="A60" t="s">
        <v>230</v>
      </c>
      <c r="B60" s="51" t="s">
        <v>613</v>
      </c>
      <c r="C60" s="54"/>
      <c r="D60" s="44"/>
      <c r="E60" s="36" t="s">
        <v>139</v>
      </c>
      <c r="F60" s="36" t="s">
        <v>13</v>
      </c>
      <c r="G60" s="36" t="str">
        <f>CONCATENATE(E60,F60)</f>
        <v>TECHManpower</v>
      </c>
      <c r="H60" t="s">
        <v>614</v>
      </c>
      <c r="J60" s="33"/>
      <c r="K60" s="123">
        <f>SUMIF(Syderal!$A:$A,'Price Table 8 Syderal'!$A60,Syderal!F:F)</f>
        <v>214.60699115044247</v>
      </c>
      <c r="L60" s="123">
        <f>SUMIF(Syderal!$A:$A,'Price Table 8 Syderal'!$A60,Syderal!G:G)</f>
        <v>214.60699115044247</v>
      </c>
      <c r="M60" s="123">
        <f>SUMIF(Syderal!$A:$A,'Price Table 8 Syderal'!$A60,Syderal!H:H)</f>
        <v>267.51265486725663</v>
      </c>
      <c r="N60" s="123">
        <f>SUMIF(Syderal!$A:$A,'Price Table 8 Syderal'!$A60,Syderal!I:I)</f>
        <v>267.51265486725663</v>
      </c>
      <c r="O60" s="123">
        <f>SUMIF(Syderal!$A:$A,'Price Table 8 Syderal'!$A60,Syderal!J:J)</f>
        <v>145.76415929203543</v>
      </c>
      <c r="P60" s="123">
        <f>SUMIF(Syderal!$A:$A,'Price Table 8 Syderal'!$A60,Syderal!K:K)</f>
        <v>145.76415929203543</v>
      </c>
      <c r="Q60" s="123">
        <f>SUMIF(Syderal!$A:$A,'Price Table 8 Syderal'!$A60,Syderal!L:L)</f>
        <v>183.21530973451328</v>
      </c>
      <c r="R60" s="123">
        <f>SUMIF(Syderal!$A:$A,'Price Table 8 Syderal'!$A60,Syderal!M:M)</f>
        <v>183.21530973451328</v>
      </c>
      <c r="S60" s="123">
        <f>SUMIF(Syderal!$A:$A,'Price Table 8 Syderal'!$A60,Syderal!N:N)</f>
        <v>56.900707964601779</v>
      </c>
      <c r="T60" s="123">
        <f>SUMIF(Syderal!$A:$A,'Price Table 8 Syderal'!$A60,Syderal!O:O)</f>
        <v>56.900707964601779</v>
      </c>
      <c r="U60" s="123">
        <f>SUMIF(Syderal!$A:$A,'Price Table 8 Syderal'!$A60,Syderal!P:P)</f>
        <v>79.599823008849569</v>
      </c>
      <c r="V60" s="123">
        <f>SUMIF(Syderal!$A:$A,'Price Table 8 Syderal'!$A60,Syderal!Q:Q)</f>
        <v>79.599823008849569</v>
      </c>
      <c r="W60" s="123"/>
      <c r="X60" s="123"/>
      <c r="Y60" s="28"/>
      <c r="Z60" s="33"/>
      <c r="AA60" s="33"/>
      <c r="AB60" s="33"/>
      <c r="AC60" s="33"/>
      <c r="AD60" s="33"/>
      <c r="AE60" s="33"/>
      <c r="AF60" s="33"/>
      <c r="AG60" s="33"/>
      <c r="AH60">
        <f t="shared" si="0"/>
        <v>1895.1992920353982</v>
      </c>
    </row>
    <row r="61" spans="1:34">
      <c r="A61" t="s">
        <v>138</v>
      </c>
      <c r="B61" s="51" t="s">
        <v>615</v>
      </c>
      <c r="C61" s="54"/>
      <c r="D61" s="44"/>
      <c r="E61" s="36" t="s">
        <v>139</v>
      </c>
      <c r="F61" s="36" t="s">
        <v>117</v>
      </c>
      <c r="G61" s="36" t="str">
        <f>CONCATENATE(E61,F61)</f>
        <v>TECHProcurement</v>
      </c>
      <c r="H61" t="s">
        <v>616</v>
      </c>
      <c r="I61" s="65" t="s">
        <v>610</v>
      </c>
      <c r="J61" s="33"/>
      <c r="K61" s="123">
        <f>SUMIF(Syderal!$A:$A,'Price Table 8 Syderal'!$A61,Syderal!F:F)</f>
        <v>0</v>
      </c>
      <c r="L61" s="123">
        <f>SUMIF(Syderal!$A:$A,'Price Table 8 Syderal'!$A61,Syderal!G:G)</f>
        <v>0</v>
      </c>
      <c r="M61" s="123">
        <f>SUMIF(Syderal!$A:$A,'Price Table 8 Syderal'!$A61,Syderal!H:H)</f>
        <v>38.994690265486732</v>
      </c>
      <c r="N61" s="123">
        <f>SUMIF(Syderal!$A:$A,'Price Table 8 Syderal'!$A61,Syderal!I:I)</f>
        <v>0</v>
      </c>
      <c r="O61" s="123">
        <f>SUMIF(Syderal!$A:$A,'Price Table 8 Syderal'!$A61,Syderal!J:J)</f>
        <v>76.460176991150448</v>
      </c>
      <c r="P61" s="123">
        <f>SUMIF(Syderal!$A:$A,'Price Table 8 Syderal'!$A61,Syderal!K:K)</f>
        <v>0</v>
      </c>
      <c r="Q61" s="123">
        <f>SUMIF(Syderal!$A:$A,'Price Table 8 Syderal'!$A61,Syderal!L:L)</f>
        <v>144.12743362831858</v>
      </c>
      <c r="R61" s="123">
        <f>SUMIF(Syderal!$A:$A,'Price Table 8 Syderal'!$A61,Syderal!M:M)</f>
        <v>0</v>
      </c>
      <c r="S61" s="123">
        <f>SUMIF(Syderal!$A:$A,'Price Table 8 Syderal'!$A61,Syderal!N:N)</f>
        <v>0</v>
      </c>
      <c r="T61" s="123">
        <f>SUMIF(Syderal!$A:$A,'Price Table 8 Syderal'!$A61,Syderal!O:O)</f>
        <v>0</v>
      </c>
      <c r="U61" s="123">
        <f>SUMIF(Syderal!$A:$A,'Price Table 8 Syderal'!$A61,Syderal!P:P)</f>
        <v>77.989380530973463</v>
      </c>
      <c r="V61" s="123">
        <f>SUMIF(Syderal!$A:$A,'Price Table 8 Syderal'!$A61,Syderal!Q:Q)</f>
        <v>0</v>
      </c>
      <c r="W61" s="123"/>
      <c r="X61" s="123"/>
      <c r="Y61" s="28"/>
      <c r="Z61" s="33"/>
      <c r="AA61" s="33"/>
      <c r="AB61" s="33"/>
      <c r="AC61" s="33"/>
      <c r="AD61" s="33"/>
      <c r="AE61" s="33"/>
      <c r="AF61" s="33"/>
      <c r="AG61" s="33"/>
      <c r="AH61">
        <f t="shared" si="0"/>
        <v>337.57168141592922</v>
      </c>
    </row>
    <row r="62" spans="1:34" s="16" customFormat="1">
      <c r="B62" s="45"/>
      <c r="C62" s="55"/>
      <c r="D62" s="56" t="s">
        <v>562</v>
      </c>
      <c r="E62" s="57"/>
      <c r="F62" s="57"/>
      <c r="G62" s="57"/>
      <c r="H62" s="17"/>
      <c r="J62" s="29"/>
      <c r="K62" s="123">
        <f>SUMIF(Syderal!$A:$A,'Price Table 8 Syderal'!$A62,Syderal!F:F)</f>
        <v>0</v>
      </c>
      <c r="L62" s="123">
        <f>SUMIF(Syderal!$A:$A,'Price Table 8 Syderal'!$A62,Syderal!G:G)</f>
        <v>0</v>
      </c>
      <c r="M62" s="123">
        <f>SUMIF(Syderal!$A:$A,'Price Table 8 Syderal'!$A62,Syderal!H:H)</f>
        <v>0</v>
      </c>
      <c r="N62" s="123">
        <f>SUMIF(Syderal!$A:$A,'Price Table 8 Syderal'!$A62,Syderal!I:I)</f>
        <v>0</v>
      </c>
      <c r="O62" s="123">
        <f>SUMIF(Syderal!$A:$A,'Price Table 8 Syderal'!$A62,Syderal!J:J)</f>
        <v>0</v>
      </c>
      <c r="P62" s="123">
        <f>SUMIF(Syderal!$A:$A,'Price Table 8 Syderal'!$A62,Syderal!K:K)</f>
        <v>0</v>
      </c>
      <c r="Q62" s="123">
        <f>SUMIF(Syderal!$A:$A,'Price Table 8 Syderal'!$A62,Syderal!L:L)</f>
        <v>0</v>
      </c>
      <c r="R62" s="123">
        <f>SUMIF(Syderal!$A:$A,'Price Table 8 Syderal'!$A62,Syderal!M:M)</f>
        <v>0</v>
      </c>
      <c r="S62" s="123">
        <f>SUMIF(Syderal!$A:$A,'Price Table 8 Syderal'!$A62,Syderal!N:N)</f>
        <v>0</v>
      </c>
      <c r="T62" s="123">
        <f>SUMIF(Syderal!$A:$A,'Price Table 8 Syderal'!$A62,Syderal!O:O)</f>
        <v>0</v>
      </c>
      <c r="U62" s="123">
        <f>SUMIF(Syderal!$A:$A,'Price Table 8 Syderal'!$A62,Syderal!P:P)</f>
        <v>0</v>
      </c>
      <c r="V62" s="123">
        <f>SUMIF(Syderal!$A:$A,'Price Table 8 Syderal'!$A62,Syderal!Q:Q)</f>
        <v>0</v>
      </c>
      <c r="W62" s="123"/>
      <c r="X62" s="123"/>
      <c r="Y62" s="58"/>
      <c r="Z62" s="29"/>
      <c r="AA62" s="29"/>
      <c r="AB62" s="29"/>
      <c r="AC62" s="29"/>
      <c r="AD62" s="29"/>
      <c r="AE62" s="29"/>
      <c r="AF62" s="29"/>
      <c r="AG62" s="29"/>
      <c r="AH62">
        <f t="shared" si="0"/>
        <v>0</v>
      </c>
    </row>
    <row r="63" spans="1:34">
      <c r="B63" s="48" t="s">
        <v>617</v>
      </c>
      <c r="C63" s="49"/>
      <c r="D63" s="50"/>
      <c r="H63"/>
      <c r="J63" s="28"/>
      <c r="K63" s="123">
        <f>SUMIF(Syderal!$A:$A,'Price Table 8 Syderal'!$A63,Syderal!F:F)</f>
        <v>0</v>
      </c>
      <c r="L63" s="123">
        <f>SUMIF(Syderal!$A:$A,'Price Table 8 Syderal'!$A63,Syderal!G:G)</f>
        <v>0</v>
      </c>
      <c r="M63" s="123">
        <f>SUMIF(Syderal!$A:$A,'Price Table 8 Syderal'!$A63,Syderal!H:H)</f>
        <v>0</v>
      </c>
      <c r="N63" s="123">
        <f>SUMIF(Syderal!$A:$A,'Price Table 8 Syderal'!$A63,Syderal!I:I)</f>
        <v>0</v>
      </c>
      <c r="O63" s="123">
        <f>SUMIF(Syderal!$A:$A,'Price Table 8 Syderal'!$A63,Syderal!J:J)</f>
        <v>0</v>
      </c>
      <c r="P63" s="123">
        <f>SUMIF(Syderal!$A:$A,'Price Table 8 Syderal'!$A63,Syderal!K:K)</f>
        <v>0</v>
      </c>
      <c r="Q63" s="123">
        <f>SUMIF(Syderal!$A:$A,'Price Table 8 Syderal'!$A63,Syderal!L:L)</f>
        <v>0</v>
      </c>
      <c r="R63" s="123">
        <f>SUMIF(Syderal!$A:$A,'Price Table 8 Syderal'!$A63,Syderal!M:M)</f>
        <v>0</v>
      </c>
      <c r="S63" s="123">
        <f>SUMIF(Syderal!$A:$A,'Price Table 8 Syderal'!$A63,Syderal!N:N)</f>
        <v>0</v>
      </c>
      <c r="T63" s="123">
        <f>SUMIF(Syderal!$A:$A,'Price Table 8 Syderal'!$A63,Syderal!O:O)</f>
        <v>0</v>
      </c>
      <c r="U63" s="123">
        <f>SUMIF(Syderal!$A:$A,'Price Table 8 Syderal'!$A63,Syderal!P:P)</f>
        <v>0</v>
      </c>
      <c r="V63" s="123">
        <f>SUMIF(Syderal!$A:$A,'Price Table 8 Syderal'!$A63,Syderal!Q:Q)</f>
        <v>0</v>
      </c>
      <c r="W63" s="123"/>
      <c r="X63" s="123"/>
      <c r="Y63" s="28"/>
      <c r="Z63" s="28"/>
      <c r="AA63" s="28"/>
      <c r="AB63" s="28"/>
      <c r="AC63" s="28"/>
      <c r="AD63" s="28"/>
      <c r="AE63" s="28"/>
      <c r="AF63" s="28"/>
      <c r="AG63" s="28"/>
      <c r="AH63">
        <f t="shared" si="0"/>
        <v>0</v>
      </c>
    </row>
    <row r="64" spans="1:34">
      <c r="A64" t="s">
        <v>293</v>
      </c>
      <c r="B64" s="51" t="s">
        <v>618</v>
      </c>
      <c r="C64" s="54"/>
      <c r="D64" s="44"/>
      <c r="E64" s="37" t="s">
        <v>139</v>
      </c>
      <c r="F64" s="36" t="s">
        <v>13</v>
      </c>
      <c r="G64" s="36" t="str">
        <f>CONCATENATE(E64,F64)</f>
        <v>TECHManpower</v>
      </c>
      <c r="H64" s="61">
        <v>480000</v>
      </c>
      <c r="I64" t="s">
        <v>619</v>
      </c>
      <c r="J64" s="28"/>
      <c r="K64" s="123">
        <f>SUMIF(Syderal!$A:$A,'Price Table 8 Syderal'!$A64,Syderal!F:F)</f>
        <v>0</v>
      </c>
      <c r="L64" s="123">
        <f>SUMIF(Syderal!$A:$A,'Price Table 8 Syderal'!$A64,Syderal!G:G)</f>
        <v>0</v>
      </c>
      <c r="M64" s="123">
        <f>SUMIF(Syderal!$A:$A,'Price Table 8 Syderal'!$A64,Syderal!H:H)</f>
        <v>0</v>
      </c>
      <c r="N64" s="123">
        <f>SUMIF(Syderal!$A:$A,'Price Table 8 Syderal'!$A64,Syderal!I:I)</f>
        <v>0</v>
      </c>
      <c r="O64" s="123">
        <f>SUMIF(Syderal!$A:$A,'Price Table 8 Syderal'!$A64,Syderal!J:J)</f>
        <v>0</v>
      </c>
      <c r="P64" s="123">
        <f>SUMIF(Syderal!$A:$A,'Price Table 8 Syderal'!$A64,Syderal!K:K)</f>
        <v>0</v>
      </c>
      <c r="Q64" s="123">
        <f>SUMIF(Syderal!$A:$A,'Price Table 8 Syderal'!$A64,Syderal!L:L)</f>
        <v>0</v>
      </c>
      <c r="R64" s="123">
        <f>SUMIF(Syderal!$A:$A,'Price Table 8 Syderal'!$A64,Syderal!M:M)</f>
        <v>0</v>
      </c>
      <c r="S64" s="123">
        <f>SUMIF(Syderal!$A:$A,'Price Table 8 Syderal'!$A64,Syderal!N:N)</f>
        <v>0</v>
      </c>
      <c r="T64" s="123">
        <f>SUMIF(Syderal!$A:$A,'Price Table 8 Syderal'!$A64,Syderal!O:O)</f>
        <v>0</v>
      </c>
      <c r="U64" s="123">
        <f>SUMIF(Syderal!$A:$A,'Price Table 8 Syderal'!$A64,Syderal!P:P)</f>
        <v>0</v>
      </c>
      <c r="V64" s="123">
        <f>SUMIF(Syderal!$A:$A,'Price Table 8 Syderal'!$A64,Syderal!Q:Q)</f>
        <v>0</v>
      </c>
      <c r="W64" s="123"/>
      <c r="X64" s="123"/>
      <c r="Y64" s="32"/>
      <c r="Z64" s="28"/>
      <c r="AA64" s="28"/>
      <c r="AB64" s="28"/>
      <c r="AC64" s="28"/>
      <c r="AD64" s="28"/>
      <c r="AE64" s="28"/>
      <c r="AF64" s="28"/>
      <c r="AG64" s="28"/>
      <c r="AH64">
        <f t="shared" si="0"/>
        <v>0</v>
      </c>
    </row>
    <row r="65" spans="1:35">
      <c r="A65" t="s">
        <v>620</v>
      </c>
      <c r="B65" s="51" t="s">
        <v>621</v>
      </c>
      <c r="C65" s="54"/>
      <c r="D65" s="44"/>
      <c r="E65" s="36" t="s">
        <v>139</v>
      </c>
      <c r="F65" s="36" t="s">
        <v>117</v>
      </c>
      <c r="G65" s="36" t="str">
        <f>CONCATENATE(E65,F65)</f>
        <v>TECHProcurement</v>
      </c>
      <c r="H65" s="61">
        <v>480000</v>
      </c>
      <c r="J65" s="28"/>
      <c r="K65" s="123">
        <f>SUMIF(Syderal!$A:$A,'Price Table 8 Syderal'!$A65,Syderal!F:F)</f>
        <v>0</v>
      </c>
      <c r="L65" s="123">
        <f>SUMIF(Syderal!$A:$A,'Price Table 8 Syderal'!$A65,Syderal!G:G)</f>
        <v>0</v>
      </c>
      <c r="M65" s="123">
        <f>SUMIF(Syderal!$A:$A,'Price Table 8 Syderal'!$A65,Syderal!H:H)</f>
        <v>0</v>
      </c>
      <c r="N65" s="123">
        <f>SUMIF(Syderal!$A:$A,'Price Table 8 Syderal'!$A65,Syderal!I:I)</f>
        <v>0</v>
      </c>
      <c r="O65" s="123">
        <f>SUMIF(Syderal!$A:$A,'Price Table 8 Syderal'!$A65,Syderal!J:J)</f>
        <v>0</v>
      </c>
      <c r="P65" s="123">
        <f>SUMIF(Syderal!$A:$A,'Price Table 8 Syderal'!$A65,Syderal!K:K)</f>
        <v>0</v>
      </c>
      <c r="Q65" s="123">
        <f>SUMIF(Syderal!$A:$A,'Price Table 8 Syderal'!$A65,Syderal!L:L)</f>
        <v>0</v>
      </c>
      <c r="R65" s="123">
        <f>SUMIF(Syderal!$A:$A,'Price Table 8 Syderal'!$A65,Syderal!M:M)</f>
        <v>0</v>
      </c>
      <c r="S65" s="123">
        <f>SUMIF(Syderal!$A:$A,'Price Table 8 Syderal'!$A65,Syderal!N:N)</f>
        <v>0</v>
      </c>
      <c r="T65" s="123">
        <f>SUMIF(Syderal!$A:$A,'Price Table 8 Syderal'!$A65,Syderal!O:O)</f>
        <v>0</v>
      </c>
      <c r="U65" s="123">
        <f>SUMIF(Syderal!$A:$A,'Price Table 8 Syderal'!$A65,Syderal!P:P)</f>
        <v>0</v>
      </c>
      <c r="V65" s="123">
        <f>SUMIF(Syderal!$A:$A,'Price Table 8 Syderal'!$A65,Syderal!Q:Q)</f>
        <v>0</v>
      </c>
      <c r="W65" s="123"/>
      <c r="X65" s="123"/>
      <c r="Y65" s="32"/>
      <c r="Z65" s="28"/>
      <c r="AA65" s="28"/>
      <c r="AB65" s="28"/>
      <c r="AC65" s="28"/>
      <c r="AD65" s="28"/>
      <c r="AE65" s="28"/>
      <c r="AF65" s="28"/>
      <c r="AG65" s="28"/>
      <c r="AH65">
        <f t="shared" si="0"/>
        <v>0</v>
      </c>
    </row>
    <row r="66" spans="1:35" s="16" customFormat="1">
      <c r="B66" s="45"/>
      <c r="C66" s="55"/>
      <c r="D66" s="56" t="s">
        <v>562</v>
      </c>
      <c r="E66" s="57"/>
      <c r="F66" s="57"/>
      <c r="G66" s="57"/>
      <c r="H66" s="17"/>
      <c r="J66" s="29"/>
      <c r="K66" s="123">
        <f>SUMIF(Syderal!$A:$A,'Price Table 8 Syderal'!$A66,Syderal!F:F)</f>
        <v>0</v>
      </c>
      <c r="L66" s="123">
        <f>SUMIF(Syderal!$A:$A,'Price Table 8 Syderal'!$A66,Syderal!G:G)</f>
        <v>0</v>
      </c>
      <c r="M66" s="123">
        <f>SUMIF(Syderal!$A:$A,'Price Table 8 Syderal'!$A66,Syderal!H:H)</f>
        <v>0</v>
      </c>
      <c r="N66" s="123">
        <f>SUMIF(Syderal!$A:$A,'Price Table 8 Syderal'!$A66,Syderal!I:I)</f>
        <v>0</v>
      </c>
      <c r="O66" s="123">
        <f>SUMIF(Syderal!$A:$A,'Price Table 8 Syderal'!$A66,Syderal!J:J)</f>
        <v>0</v>
      </c>
      <c r="P66" s="123">
        <f>SUMIF(Syderal!$A:$A,'Price Table 8 Syderal'!$A66,Syderal!K:K)</f>
        <v>0</v>
      </c>
      <c r="Q66" s="123">
        <f>SUMIF(Syderal!$A:$A,'Price Table 8 Syderal'!$A66,Syderal!L:L)</f>
        <v>0</v>
      </c>
      <c r="R66" s="123">
        <f>SUMIF(Syderal!$A:$A,'Price Table 8 Syderal'!$A66,Syderal!M:M)</f>
        <v>0</v>
      </c>
      <c r="S66" s="123">
        <f>SUMIF(Syderal!$A:$A,'Price Table 8 Syderal'!$A66,Syderal!N:N)</f>
        <v>0</v>
      </c>
      <c r="T66" s="123">
        <f>SUMIF(Syderal!$A:$A,'Price Table 8 Syderal'!$A66,Syderal!O:O)</f>
        <v>0</v>
      </c>
      <c r="U66" s="123">
        <f>SUMIF(Syderal!$A:$A,'Price Table 8 Syderal'!$A66,Syderal!P:P)</f>
        <v>0</v>
      </c>
      <c r="V66" s="123">
        <f>SUMIF(Syderal!$A:$A,'Price Table 8 Syderal'!$A66,Syderal!Q:Q)</f>
        <v>0</v>
      </c>
      <c r="W66" s="123"/>
      <c r="X66" s="123"/>
      <c r="Y66" s="58"/>
      <c r="Z66" s="29"/>
      <c r="AA66" s="29"/>
      <c r="AB66" s="29"/>
      <c r="AC66" s="29"/>
      <c r="AD66" s="29"/>
      <c r="AE66" s="29"/>
      <c r="AF66" s="29"/>
      <c r="AG66" s="29"/>
      <c r="AH66">
        <f t="shared" si="0"/>
        <v>0</v>
      </c>
    </row>
    <row r="67" spans="1:35">
      <c r="A67" t="s">
        <v>377</v>
      </c>
      <c r="B67" s="48" t="s">
        <v>622</v>
      </c>
      <c r="C67" s="49"/>
      <c r="D67" s="50"/>
      <c r="E67" s="36" t="s">
        <v>139</v>
      </c>
      <c r="F67" s="36" t="s">
        <v>117</v>
      </c>
      <c r="G67" s="36" t="str">
        <f>CONCATENATE(E67,F67)</f>
        <v>TECHProcurement</v>
      </c>
      <c r="H67" s="16">
        <v>540000</v>
      </c>
      <c r="J67" s="28"/>
      <c r="K67" s="123">
        <f>SUMIF(Syderal!$A:$A,'Price Table 8 Syderal'!$A67,Syderal!F:F)</f>
        <v>0</v>
      </c>
      <c r="L67" s="123">
        <f>SUMIF(Syderal!$A:$A,'Price Table 8 Syderal'!$A67,Syderal!G:G)</f>
        <v>0</v>
      </c>
      <c r="M67" s="123">
        <f>SUMIF(Syderal!$A:$A,'Price Table 8 Syderal'!$A67,Syderal!H:H)</f>
        <v>0</v>
      </c>
      <c r="N67" s="123">
        <f>SUMIF(Syderal!$A:$A,'Price Table 8 Syderal'!$A67,Syderal!I:I)</f>
        <v>0</v>
      </c>
      <c r="O67" s="123">
        <f>SUMIF(Syderal!$A:$A,'Price Table 8 Syderal'!$A67,Syderal!J:J)</f>
        <v>0</v>
      </c>
      <c r="P67" s="123">
        <f>SUMIF(Syderal!$A:$A,'Price Table 8 Syderal'!$A67,Syderal!K:K)</f>
        <v>0</v>
      </c>
      <c r="Q67" s="123">
        <f>SUMIF(Syderal!$A:$A,'Price Table 8 Syderal'!$A67,Syderal!L:L)</f>
        <v>0</v>
      </c>
      <c r="R67" s="123">
        <f>SUMIF(Syderal!$A:$A,'Price Table 8 Syderal'!$A67,Syderal!M:M)</f>
        <v>0</v>
      </c>
      <c r="S67" s="123">
        <f>SUMIF(Syderal!$A:$A,'Price Table 8 Syderal'!$A67,Syderal!N:N)</f>
        <v>0</v>
      </c>
      <c r="T67" s="123">
        <f>SUMIF(Syderal!$A:$A,'Price Table 8 Syderal'!$A67,Syderal!O:O)</f>
        <v>0</v>
      </c>
      <c r="U67" s="123">
        <f>SUMIF(Syderal!$A:$A,'Price Table 8 Syderal'!$A67,Syderal!P:P)</f>
        <v>0</v>
      </c>
      <c r="V67" s="123">
        <f>SUMIF(Syderal!$A:$A,'Price Table 8 Syderal'!$A67,Syderal!Q:Q)</f>
        <v>0</v>
      </c>
      <c r="W67" s="123"/>
      <c r="X67" s="123"/>
      <c r="Y67" s="29"/>
      <c r="Z67" s="28"/>
      <c r="AA67" s="28"/>
      <c r="AB67" s="28"/>
      <c r="AC67" s="28"/>
      <c r="AD67" s="28"/>
      <c r="AE67" s="28"/>
      <c r="AF67" s="28"/>
      <c r="AG67" s="28"/>
      <c r="AH67">
        <f t="shared" si="0"/>
        <v>0</v>
      </c>
    </row>
    <row r="68" spans="1:35">
      <c r="B68" s="20" t="s">
        <v>623</v>
      </c>
      <c r="C68" s="21"/>
      <c r="D68" s="22"/>
      <c r="H68"/>
      <c r="J68" s="28"/>
      <c r="K68" s="123">
        <f>SUMIF(Syderal!$A:$A,'Price Table 8 Syderal'!$A68,Syderal!F:F)</f>
        <v>0</v>
      </c>
      <c r="L68" s="123">
        <f>SUMIF(Syderal!$A:$A,'Price Table 8 Syderal'!$A68,Syderal!G:G)</f>
        <v>0</v>
      </c>
      <c r="M68" s="123">
        <f>SUMIF(Syderal!$A:$A,'Price Table 8 Syderal'!$A68,Syderal!H:H)</f>
        <v>0</v>
      </c>
      <c r="N68" s="123">
        <f>SUMIF(Syderal!$A:$A,'Price Table 8 Syderal'!$A68,Syderal!I:I)</f>
        <v>0</v>
      </c>
      <c r="O68" s="123">
        <f>SUMIF(Syderal!$A:$A,'Price Table 8 Syderal'!$A68,Syderal!J:J)</f>
        <v>0</v>
      </c>
      <c r="P68" s="123">
        <f>SUMIF(Syderal!$A:$A,'Price Table 8 Syderal'!$A68,Syderal!K:K)</f>
        <v>0</v>
      </c>
      <c r="Q68" s="123">
        <f>SUMIF(Syderal!$A:$A,'Price Table 8 Syderal'!$A68,Syderal!L:L)</f>
        <v>0</v>
      </c>
      <c r="R68" s="123">
        <f>SUMIF(Syderal!$A:$A,'Price Table 8 Syderal'!$A68,Syderal!M:M)</f>
        <v>0</v>
      </c>
      <c r="S68" s="123">
        <f>SUMIF(Syderal!$A:$A,'Price Table 8 Syderal'!$A68,Syderal!N:N)</f>
        <v>0</v>
      </c>
      <c r="T68" s="123">
        <f>SUMIF(Syderal!$A:$A,'Price Table 8 Syderal'!$A68,Syderal!O:O)</f>
        <v>0</v>
      </c>
      <c r="U68" s="123">
        <f>SUMIF(Syderal!$A:$A,'Price Table 8 Syderal'!$A68,Syderal!P:P)</f>
        <v>0</v>
      </c>
      <c r="V68" s="123">
        <f>SUMIF(Syderal!$A:$A,'Price Table 8 Syderal'!$A68,Syderal!Q:Q)</f>
        <v>0</v>
      </c>
      <c r="W68" s="123"/>
      <c r="X68" s="123"/>
      <c r="Y68" s="28"/>
      <c r="Z68" s="28"/>
      <c r="AA68" s="28"/>
      <c r="AB68" s="28"/>
      <c r="AC68" s="28"/>
      <c r="AD68" s="28"/>
      <c r="AE68" s="28"/>
      <c r="AF68" s="28"/>
      <c r="AG68" s="28"/>
      <c r="AH68">
        <f t="shared" si="0"/>
        <v>0</v>
      </c>
    </row>
    <row r="69" spans="1:35" ht="21.95" customHeight="1">
      <c r="B69" s="23"/>
      <c r="C69" s="5"/>
      <c r="D69" s="5"/>
      <c r="E69"/>
      <c r="F69"/>
      <c r="G69"/>
      <c r="H69"/>
      <c r="U69" s="67"/>
      <c r="AH69">
        <f t="shared" si="0"/>
        <v>0</v>
      </c>
    </row>
    <row r="70" spans="1:35" ht="21.95" customHeight="1">
      <c r="A70" t="s">
        <v>9</v>
      </c>
      <c r="B70" s="12" t="s">
        <v>624</v>
      </c>
      <c r="C70" s="13"/>
      <c r="D70" s="14"/>
      <c r="E70" s="37" t="s">
        <v>14</v>
      </c>
      <c r="F70" s="36" t="s">
        <v>117</v>
      </c>
      <c r="G70" s="36" t="str">
        <f>CONCATENATE(E70,F70)</f>
        <v>MISSIONProcurement</v>
      </c>
      <c r="H70" s="16">
        <v>320000</v>
      </c>
      <c r="AH70">
        <f t="shared" si="0"/>
        <v>0</v>
      </c>
    </row>
    <row r="71" spans="1:35" ht="21.95" customHeight="1">
      <c r="B71" s="5"/>
      <c r="C71" s="5"/>
      <c r="D71" s="5"/>
      <c r="E71"/>
      <c r="F71"/>
      <c r="G71"/>
      <c r="H71"/>
      <c r="AH71">
        <f t="shared" si="0"/>
        <v>0</v>
      </c>
    </row>
    <row r="72" spans="1:35">
      <c r="B72" s="23"/>
      <c r="C72" s="5"/>
      <c r="D72" s="5"/>
      <c r="H72"/>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f t="shared" si="0"/>
        <v>0</v>
      </c>
    </row>
    <row r="73" spans="1:35">
      <c r="B73" s="12" t="s">
        <v>625</v>
      </c>
      <c r="C73" s="13"/>
      <c r="D73" s="14"/>
      <c r="H73"/>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f t="shared" si="0"/>
        <v>0</v>
      </c>
    </row>
    <row r="74" spans="1:35">
      <c r="A74" t="s">
        <v>389</v>
      </c>
      <c r="B74" s="321" t="s">
        <v>626</v>
      </c>
      <c r="C74" s="19"/>
      <c r="D74" s="315"/>
      <c r="E74" s="37" t="s">
        <v>14</v>
      </c>
      <c r="F74" s="36" t="s">
        <v>13</v>
      </c>
      <c r="G74" s="36" t="str">
        <f>CONCATENATE(E74,F74)</f>
        <v>MISSIONManpower</v>
      </c>
      <c r="H74" s="64" t="s">
        <v>627</v>
      </c>
      <c r="J74" s="28"/>
      <c r="K74" s="28"/>
      <c r="L74" s="28"/>
      <c r="M74" s="28"/>
      <c r="N74" s="28"/>
      <c r="O74" s="28"/>
      <c r="P74" s="28"/>
      <c r="Q74" s="28"/>
      <c r="R74" s="28"/>
      <c r="S74" s="28"/>
      <c r="T74" s="28"/>
      <c r="U74" s="28"/>
      <c r="V74" s="28"/>
      <c r="W74" s="28"/>
      <c r="X74" s="28"/>
      <c r="Y74" s="35"/>
      <c r="Z74" s="28"/>
      <c r="AA74" s="28"/>
      <c r="AB74" s="28"/>
      <c r="AC74" s="28"/>
      <c r="AD74" s="28"/>
      <c r="AE74" s="28"/>
      <c r="AF74" s="28"/>
      <c r="AG74" s="28"/>
      <c r="AH74">
        <f t="shared" si="0"/>
        <v>0</v>
      </c>
    </row>
    <row r="75" spans="1:35">
      <c r="A75" t="s">
        <v>434</v>
      </c>
      <c r="B75" s="603" t="s">
        <v>432</v>
      </c>
      <c r="C75" s="5"/>
      <c r="D75" s="316"/>
      <c r="E75" s="37" t="s">
        <v>14</v>
      </c>
      <c r="F75" s="36" t="s">
        <v>13</v>
      </c>
      <c r="G75" s="36" t="str">
        <f>CONCATENATE(E75,F75)</f>
        <v>MISSIONManpower</v>
      </c>
      <c r="H75" s="60" t="s">
        <v>628</v>
      </c>
      <c r="J75" s="29"/>
      <c r="K75" s="28"/>
      <c r="L75" s="28"/>
      <c r="M75" s="28"/>
      <c r="N75" s="28"/>
      <c r="O75" s="28"/>
      <c r="P75" s="28"/>
      <c r="Q75" s="28"/>
      <c r="R75" s="28"/>
      <c r="S75" s="28"/>
      <c r="T75" s="28"/>
      <c r="U75" s="28"/>
      <c r="V75" s="28"/>
      <c r="W75" s="28"/>
      <c r="X75" s="28"/>
      <c r="Y75" s="30"/>
      <c r="Z75" s="29"/>
      <c r="AA75" s="28"/>
      <c r="AB75" s="28"/>
      <c r="AC75" s="28"/>
      <c r="AD75" s="28"/>
      <c r="AE75" s="28"/>
      <c r="AF75" s="28"/>
      <c r="AG75" s="28"/>
      <c r="AH75">
        <f t="shared" si="0"/>
        <v>0</v>
      </c>
    </row>
    <row r="76" spans="1:35">
      <c r="A76" t="s">
        <v>427</v>
      </c>
      <c r="B76" s="322" t="s">
        <v>629</v>
      </c>
      <c r="C76" s="5"/>
      <c r="D76" s="316"/>
      <c r="E76" s="36" t="s">
        <v>139</v>
      </c>
      <c r="F76" s="36" t="s">
        <v>13</v>
      </c>
      <c r="G76" s="36" t="str">
        <f>CONCATENATE(E76,F76)</f>
        <v>TECHManpower</v>
      </c>
      <c r="H76" s="16">
        <v>650000</v>
      </c>
      <c r="J76" s="28"/>
      <c r="K76" s="28"/>
      <c r="L76" s="28"/>
      <c r="M76" s="28"/>
      <c r="N76" s="28"/>
      <c r="O76" s="28"/>
      <c r="P76" s="28"/>
      <c r="Q76" s="28"/>
      <c r="R76" s="28"/>
      <c r="S76" s="28"/>
      <c r="T76" s="28"/>
      <c r="U76" s="28"/>
      <c r="V76" s="28"/>
      <c r="W76" s="28"/>
      <c r="X76" s="28"/>
      <c r="Y76" s="29"/>
      <c r="Z76" s="28"/>
      <c r="AA76" s="28"/>
      <c r="AB76" s="28"/>
      <c r="AC76" s="28"/>
      <c r="AD76" s="28"/>
      <c r="AE76" s="28"/>
      <c r="AF76" s="28"/>
      <c r="AG76" s="28"/>
      <c r="AH76">
        <f t="shared" si="0"/>
        <v>0</v>
      </c>
    </row>
    <row r="77" spans="1:35">
      <c r="A77" t="s">
        <v>396</v>
      </c>
      <c r="B77" s="322" t="s">
        <v>630</v>
      </c>
      <c r="C77" s="5"/>
      <c r="D77" s="316"/>
      <c r="E77" s="37" t="s">
        <v>14</v>
      </c>
      <c r="F77" s="37" t="s">
        <v>117</v>
      </c>
      <c r="G77" s="36" t="str">
        <f>CONCATENATE(E77,F77)</f>
        <v>MISSIONProcurement</v>
      </c>
      <c r="H77">
        <v>620100</v>
      </c>
      <c r="I77" s="1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f t="shared" si="0"/>
        <v>0</v>
      </c>
    </row>
    <row r="78" spans="1:35" ht="15.75" thickBot="1">
      <c r="A78" t="s">
        <v>631</v>
      </c>
      <c r="B78" s="602" t="s">
        <v>632</v>
      </c>
      <c r="C78" s="318"/>
      <c r="D78" s="319"/>
      <c r="E78" s="37" t="s">
        <v>14</v>
      </c>
      <c r="F78" s="36" t="s">
        <v>117</v>
      </c>
      <c r="G78" s="36" t="str">
        <f>CONCATENATE(E78,F78)</f>
        <v>MISSIONProcurement</v>
      </c>
      <c r="H78" t="s">
        <v>643</v>
      </c>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f t="shared" si="0"/>
        <v>0</v>
      </c>
    </row>
    <row r="79" spans="1:35">
      <c r="A79" t="s">
        <v>633</v>
      </c>
      <c r="B79" s="25" t="s">
        <v>465</v>
      </c>
      <c r="C79" s="26"/>
      <c r="D79" s="27"/>
      <c r="E79" s="59"/>
      <c r="F79" s="59"/>
      <c r="G79" s="59"/>
      <c r="H79"/>
      <c r="J79" s="123">
        <f>J81*0.2</f>
        <v>0</v>
      </c>
      <c r="K79" s="123">
        <f t="shared" ref="K79:AG79" si="1">K81*0.2</f>
        <v>51.622088495575227</v>
      </c>
      <c r="L79" s="123">
        <f t="shared" si="1"/>
        <v>51.622088495575227</v>
      </c>
      <c r="M79" s="123">
        <f t="shared" si="1"/>
        <v>70.002159292035401</v>
      </c>
      <c r="N79" s="123">
        <f t="shared" si="1"/>
        <v>62.203221238938056</v>
      </c>
      <c r="O79" s="123">
        <f t="shared" si="1"/>
        <v>53.145557522123902</v>
      </c>
      <c r="P79" s="123">
        <f t="shared" si="1"/>
        <v>37.853522123893811</v>
      </c>
      <c r="Q79" s="123">
        <f t="shared" si="1"/>
        <v>74.169238938053113</v>
      </c>
      <c r="R79" s="123">
        <f t="shared" si="1"/>
        <v>45.343752212389383</v>
      </c>
      <c r="S79" s="123">
        <f t="shared" si="1"/>
        <v>20.080831858407084</v>
      </c>
      <c r="T79" s="123">
        <f t="shared" si="1"/>
        <v>20.080831858407084</v>
      </c>
      <c r="U79" s="123">
        <f t="shared" si="1"/>
        <v>40.218530973451337</v>
      </c>
      <c r="V79" s="123">
        <f t="shared" si="1"/>
        <v>24.620654867256643</v>
      </c>
      <c r="W79" s="123">
        <f t="shared" si="1"/>
        <v>0</v>
      </c>
      <c r="X79" s="123">
        <f t="shared" si="1"/>
        <v>0</v>
      </c>
      <c r="Y79" s="123">
        <f t="shared" si="1"/>
        <v>0</v>
      </c>
      <c r="Z79" s="123">
        <f t="shared" si="1"/>
        <v>0</v>
      </c>
      <c r="AA79" s="123">
        <f t="shared" si="1"/>
        <v>0</v>
      </c>
      <c r="AB79" s="123">
        <f t="shared" si="1"/>
        <v>0</v>
      </c>
      <c r="AC79" s="123">
        <f t="shared" si="1"/>
        <v>0</v>
      </c>
      <c r="AD79" s="123">
        <f t="shared" si="1"/>
        <v>0</v>
      </c>
      <c r="AE79" s="123">
        <f t="shared" si="1"/>
        <v>0</v>
      </c>
      <c r="AF79" s="123">
        <f t="shared" si="1"/>
        <v>0</v>
      </c>
      <c r="AG79" s="123">
        <f t="shared" si="1"/>
        <v>0</v>
      </c>
      <c r="AH79" s="115">
        <f t="shared" ref="AH79" si="2">SUM(J79:AG79)</f>
        <v>550.96247787610628</v>
      </c>
      <c r="AI79" s="115"/>
    </row>
    <row r="80" spans="1:3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row>
    <row r="81" spans="2:35">
      <c r="B81" s="23" t="s">
        <v>634</v>
      </c>
      <c r="J81" s="115">
        <f>SUM(J14:J78)</f>
        <v>0</v>
      </c>
      <c r="K81" s="115">
        <f t="shared" ref="K81:AI81" si="3">SUM(K14:K78)</f>
        <v>258.11044247787612</v>
      </c>
      <c r="L81" s="115">
        <f t="shared" si="3"/>
        <v>258.11044247787612</v>
      </c>
      <c r="M81" s="115">
        <f t="shared" si="3"/>
        <v>350.010796460177</v>
      </c>
      <c r="N81" s="115">
        <f t="shared" si="3"/>
        <v>311.01610619469028</v>
      </c>
      <c r="O81" s="115">
        <f t="shared" si="3"/>
        <v>265.72778761061949</v>
      </c>
      <c r="P81" s="115">
        <f t="shared" si="3"/>
        <v>189.26761061946905</v>
      </c>
      <c r="Q81" s="115">
        <f t="shared" si="3"/>
        <v>370.84619469026552</v>
      </c>
      <c r="R81" s="115">
        <f t="shared" si="3"/>
        <v>226.71876106194691</v>
      </c>
      <c r="S81" s="115">
        <f t="shared" si="3"/>
        <v>100.40415929203542</v>
      </c>
      <c r="T81" s="115">
        <f t="shared" si="3"/>
        <v>100.40415929203542</v>
      </c>
      <c r="U81" s="115">
        <f t="shared" si="3"/>
        <v>201.09265486725667</v>
      </c>
      <c r="V81" s="115">
        <f t="shared" si="3"/>
        <v>123.10327433628321</v>
      </c>
      <c r="W81" s="115">
        <f t="shared" si="3"/>
        <v>0</v>
      </c>
      <c r="X81" s="115">
        <f t="shared" si="3"/>
        <v>0</v>
      </c>
      <c r="Y81" s="115">
        <f t="shared" si="3"/>
        <v>0</v>
      </c>
      <c r="Z81" s="115">
        <f t="shared" si="3"/>
        <v>0</v>
      </c>
      <c r="AA81" s="115">
        <f t="shared" si="3"/>
        <v>0</v>
      </c>
      <c r="AB81" s="115">
        <f t="shared" si="3"/>
        <v>0</v>
      </c>
      <c r="AC81" s="115">
        <f t="shared" si="3"/>
        <v>0</v>
      </c>
      <c r="AD81" s="115">
        <f t="shared" si="3"/>
        <v>0</v>
      </c>
      <c r="AE81" s="115">
        <f t="shared" si="3"/>
        <v>0</v>
      </c>
      <c r="AF81" s="115">
        <f t="shared" si="3"/>
        <v>0</v>
      </c>
      <c r="AG81" s="115">
        <f t="shared" si="3"/>
        <v>0</v>
      </c>
      <c r="AH81" s="115">
        <f t="shared" si="3"/>
        <v>2754.8123893805309</v>
      </c>
      <c r="AI81" s="115">
        <f t="shared" si="3"/>
        <v>0</v>
      </c>
    </row>
    <row r="82" spans="2:35">
      <c r="B82" s="23" t="s">
        <v>635</v>
      </c>
      <c r="J82" s="115">
        <f>SUM(J79:J81)</f>
        <v>0</v>
      </c>
      <c r="K82" s="115">
        <f t="shared" ref="K82:AG82" si="4">SUM(K79:K81)</f>
        <v>309.73253097345133</v>
      </c>
      <c r="L82" s="115">
        <f t="shared" si="4"/>
        <v>309.73253097345133</v>
      </c>
      <c r="M82" s="115">
        <f t="shared" si="4"/>
        <v>420.01295575221241</v>
      </c>
      <c r="N82" s="115">
        <f t="shared" si="4"/>
        <v>373.21932743362834</v>
      </c>
      <c r="O82" s="115">
        <f t="shared" si="4"/>
        <v>318.8733451327434</v>
      </c>
      <c r="P82" s="115">
        <f t="shared" si="4"/>
        <v>227.12113274336286</v>
      </c>
      <c r="Q82" s="115">
        <f t="shared" si="4"/>
        <v>445.01543362831865</v>
      </c>
      <c r="R82" s="115">
        <f t="shared" si="4"/>
        <v>272.06251327433631</v>
      </c>
      <c r="S82" s="115">
        <f t="shared" si="4"/>
        <v>120.4849911504425</v>
      </c>
      <c r="T82" s="115">
        <f t="shared" si="4"/>
        <v>120.4849911504425</v>
      </c>
      <c r="U82" s="115">
        <f t="shared" si="4"/>
        <v>241.31118584070799</v>
      </c>
      <c r="V82" s="115">
        <f t="shared" si="4"/>
        <v>147.72392920353985</v>
      </c>
      <c r="W82" s="115">
        <f t="shared" si="4"/>
        <v>0</v>
      </c>
      <c r="X82" s="115">
        <f t="shared" si="4"/>
        <v>0</v>
      </c>
      <c r="Y82" s="115">
        <f t="shared" si="4"/>
        <v>0</v>
      </c>
      <c r="Z82" s="115">
        <f t="shared" si="4"/>
        <v>0</v>
      </c>
      <c r="AA82" s="115">
        <f t="shared" si="4"/>
        <v>0</v>
      </c>
      <c r="AB82" s="115">
        <f t="shared" si="4"/>
        <v>0</v>
      </c>
      <c r="AC82" s="115">
        <f t="shared" si="4"/>
        <v>0</v>
      </c>
      <c r="AD82" s="115">
        <f t="shared" si="4"/>
        <v>0</v>
      </c>
      <c r="AE82" s="115">
        <f t="shared" si="4"/>
        <v>0</v>
      </c>
      <c r="AF82" s="115">
        <f t="shared" si="4"/>
        <v>0</v>
      </c>
      <c r="AG82" s="115">
        <f t="shared" si="4"/>
        <v>0</v>
      </c>
      <c r="AH82" s="115">
        <f t="shared" ref="AH82" si="5">SUM(J82:AG82)</f>
        <v>3305.7748672566372</v>
      </c>
      <c r="AI82" s="390"/>
    </row>
    <row r="83" spans="2:35" ht="15.75" thickBot="1">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row>
    <row r="84" spans="2:35">
      <c r="E84" s="256" t="s">
        <v>12</v>
      </c>
      <c r="F84" s="257" t="s">
        <v>13</v>
      </c>
      <c r="G84" s="257" t="str">
        <f>CONCATENATE(E84,F84)</f>
        <v>MGTManpower</v>
      </c>
      <c r="H84" s="257"/>
      <c r="I84" s="274"/>
      <c r="J84" s="268">
        <f>SUMIF($G$14:$G$79,$G84,J$14:J$79)</f>
        <v>0</v>
      </c>
      <c r="K84" s="258">
        <f t="shared" ref="K84:AH88" si="6">SUMIF($G$14:$G$79,$G84,K$14:K$79)</f>
        <v>43.503451327433638</v>
      </c>
      <c r="L84" s="258">
        <f t="shared" si="6"/>
        <v>43.503451327433638</v>
      </c>
      <c r="M84" s="258">
        <f t="shared" si="6"/>
        <v>43.503451327433638</v>
      </c>
      <c r="N84" s="258">
        <f t="shared" si="6"/>
        <v>43.503451327433638</v>
      </c>
      <c r="O84" s="258">
        <f t="shared" si="6"/>
        <v>43.503451327433638</v>
      </c>
      <c r="P84" s="258">
        <f t="shared" si="6"/>
        <v>43.503451327433638</v>
      </c>
      <c r="Q84" s="258">
        <f t="shared" si="6"/>
        <v>43.503451327433638</v>
      </c>
      <c r="R84" s="258">
        <f t="shared" si="6"/>
        <v>43.503451327433638</v>
      </c>
      <c r="S84" s="258">
        <f t="shared" si="6"/>
        <v>43.503451327433638</v>
      </c>
      <c r="T84" s="258">
        <f t="shared" si="6"/>
        <v>43.503451327433638</v>
      </c>
      <c r="U84" s="258">
        <f t="shared" si="6"/>
        <v>43.503451327433638</v>
      </c>
      <c r="V84" s="258">
        <f t="shared" si="6"/>
        <v>43.503451327433638</v>
      </c>
      <c r="W84" s="258">
        <f t="shared" si="6"/>
        <v>0</v>
      </c>
      <c r="X84" s="258">
        <f t="shared" si="6"/>
        <v>0</v>
      </c>
      <c r="Y84" s="258">
        <f t="shared" si="6"/>
        <v>0</v>
      </c>
      <c r="Z84" s="258">
        <f t="shared" si="6"/>
        <v>0</v>
      </c>
      <c r="AA84" s="258">
        <f t="shared" si="6"/>
        <v>0</v>
      </c>
      <c r="AB84" s="258">
        <f t="shared" si="6"/>
        <v>0</v>
      </c>
      <c r="AC84" s="258">
        <f t="shared" si="6"/>
        <v>0</v>
      </c>
      <c r="AD84" s="258">
        <f t="shared" si="6"/>
        <v>0</v>
      </c>
      <c r="AE84" s="258">
        <f t="shared" si="6"/>
        <v>0</v>
      </c>
      <c r="AF84" s="258">
        <f t="shared" si="6"/>
        <v>0</v>
      </c>
      <c r="AG84" s="259">
        <f t="shared" si="6"/>
        <v>0</v>
      </c>
      <c r="AH84" s="271">
        <f t="shared" si="6"/>
        <v>522.04141592920359</v>
      </c>
      <c r="AI84" s="115"/>
    </row>
    <row r="85" spans="2:35">
      <c r="E85" s="260" t="s">
        <v>14</v>
      </c>
      <c r="F85" s="36" t="s">
        <v>13</v>
      </c>
      <c r="G85" s="36" t="str">
        <f>CONCATENATE(E85,F85)</f>
        <v>MISSIONManpower</v>
      </c>
      <c r="I85" s="275"/>
      <c r="J85" s="269">
        <f t="shared" ref="J85:Y88" si="7">SUMIF($G$14:$G$79,$G85,J$14:J$79)</f>
        <v>0</v>
      </c>
      <c r="K85" s="261">
        <f t="shared" si="7"/>
        <v>0</v>
      </c>
      <c r="L85" s="261">
        <f t="shared" si="7"/>
        <v>0</v>
      </c>
      <c r="M85" s="261">
        <f t="shared" si="7"/>
        <v>0</v>
      </c>
      <c r="N85" s="261">
        <f t="shared" si="7"/>
        <v>0</v>
      </c>
      <c r="O85" s="261">
        <f t="shared" si="7"/>
        <v>0</v>
      </c>
      <c r="P85" s="261">
        <f t="shared" si="7"/>
        <v>0</v>
      </c>
      <c r="Q85" s="261">
        <f t="shared" si="7"/>
        <v>0</v>
      </c>
      <c r="R85" s="261">
        <f t="shared" si="7"/>
        <v>0</v>
      </c>
      <c r="S85" s="261">
        <f t="shared" si="7"/>
        <v>0</v>
      </c>
      <c r="T85" s="261">
        <f t="shared" si="7"/>
        <v>0</v>
      </c>
      <c r="U85" s="261">
        <f t="shared" si="7"/>
        <v>0</v>
      </c>
      <c r="V85" s="261">
        <f t="shared" si="7"/>
        <v>0</v>
      </c>
      <c r="W85" s="261">
        <f t="shared" si="7"/>
        <v>0</v>
      </c>
      <c r="X85" s="261">
        <f t="shared" si="7"/>
        <v>0</v>
      </c>
      <c r="Y85" s="261">
        <f t="shared" si="7"/>
        <v>0</v>
      </c>
      <c r="Z85" s="261">
        <f t="shared" si="6"/>
        <v>0</v>
      </c>
      <c r="AA85" s="261">
        <f t="shared" si="6"/>
        <v>0</v>
      </c>
      <c r="AB85" s="261">
        <f t="shared" si="6"/>
        <v>0</v>
      </c>
      <c r="AC85" s="261">
        <f t="shared" si="6"/>
        <v>0</v>
      </c>
      <c r="AD85" s="261">
        <f t="shared" si="6"/>
        <v>0</v>
      </c>
      <c r="AE85" s="261">
        <f t="shared" si="6"/>
        <v>0</v>
      </c>
      <c r="AF85" s="261">
        <f t="shared" si="6"/>
        <v>0</v>
      </c>
      <c r="AG85" s="262">
        <f t="shared" si="6"/>
        <v>0</v>
      </c>
      <c r="AH85" s="272">
        <f t="shared" si="6"/>
        <v>0</v>
      </c>
      <c r="AI85" s="115"/>
    </row>
    <row r="86" spans="2:35" ht="15.75" thickBot="1">
      <c r="E86" s="263" t="s">
        <v>139</v>
      </c>
      <c r="F86" s="264" t="s">
        <v>13</v>
      </c>
      <c r="G86" s="264" t="str">
        <f>CONCATENATE(E86,F86)</f>
        <v>TECHManpower</v>
      </c>
      <c r="H86" s="264"/>
      <c r="I86" s="276"/>
      <c r="J86" s="270">
        <f t="shared" si="7"/>
        <v>0</v>
      </c>
      <c r="K86" s="266">
        <f t="shared" si="6"/>
        <v>214.60699115044247</v>
      </c>
      <c r="L86" s="266">
        <f t="shared" si="6"/>
        <v>214.60699115044247</v>
      </c>
      <c r="M86" s="266">
        <f t="shared" si="6"/>
        <v>267.51265486725663</v>
      </c>
      <c r="N86" s="266">
        <f t="shared" si="6"/>
        <v>267.51265486725663</v>
      </c>
      <c r="O86" s="266">
        <f t="shared" si="6"/>
        <v>145.76415929203543</v>
      </c>
      <c r="P86" s="266">
        <f t="shared" si="6"/>
        <v>145.76415929203543</v>
      </c>
      <c r="Q86" s="266">
        <f t="shared" si="6"/>
        <v>183.21530973451328</v>
      </c>
      <c r="R86" s="266">
        <f t="shared" si="6"/>
        <v>183.21530973451328</v>
      </c>
      <c r="S86" s="266">
        <f t="shared" si="6"/>
        <v>56.900707964601779</v>
      </c>
      <c r="T86" s="266">
        <f t="shared" si="6"/>
        <v>56.900707964601779</v>
      </c>
      <c r="U86" s="266">
        <f t="shared" si="6"/>
        <v>79.599823008849569</v>
      </c>
      <c r="V86" s="266">
        <f t="shared" si="6"/>
        <v>79.599823008849569</v>
      </c>
      <c r="W86" s="266">
        <f t="shared" si="6"/>
        <v>0</v>
      </c>
      <c r="X86" s="266">
        <f t="shared" si="6"/>
        <v>0</v>
      </c>
      <c r="Y86" s="266">
        <f t="shared" si="6"/>
        <v>0</v>
      </c>
      <c r="Z86" s="266">
        <f t="shared" si="6"/>
        <v>0</v>
      </c>
      <c r="AA86" s="266">
        <f t="shared" si="6"/>
        <v>0</v>
      </c>
      <c r="AB86" s="266">
        <f t="shared" si="6"/>
        <v>0</v>
      </c>
      <c r="AC86" s="266">
        <f t="shared" si="6"/>
        <v>0</v>
      </c>
      <c r="AD86" s="266">
        <f t="shared" si="6"/>
        <v>0</v>
      </c>
      <c r="AE86" s="266">
        <f t="shared" si="6"/>
        <v>0</v>
      </c>
      <c r="AF86" s="266">
        <f t="shared" si="6"/>
        <v>0</v>
      </c>
      <c r="AG86" s="267">
        <f t="shared" si="6"/>
        <v>0</v>
      </c>
      <c r="AH86" s="273">
        <f t="shared" si="6"/>
        <v>1895.1992920353982</v>
      </c>
      <c r="AI86" s="115"/>
    </row>
    <row r="87" spans="2:35">
      <c r="E87" s="260" t="s">
        <v>14</v>
      </c>
      <c r="F87" s="37" t="s">
        <v>117</v>
      </c>
      <c r="G87" s="36" t="str">
        <f>CONCATENATE(E87,F87)</f>
        <v>MISSIONProcurement</v>
      </c>
      <c r="H87" s="37"/>
      <c r="J87" s="269">
        <f t="shared" si="7"/>
        <v>0</v>
      </c>
      <c r="K87" s="261">
        <f t="shared" si="6"/>
        <v>0</v>
      </c>
      <c r="L87" s="261">
        <f t="shared" si="6"/>
        <v>0</v>
      </c>
      <c r="M87" s="261">
        <f t="shared" si="6"/>
        <v>0</v>
      </c>
      <c r="N87" s="261">
        <f t="shared" si="6"/>
        <v>0</v>
      </c>
      <c r="O87" s="261">
        <f t="shared" si="6"/>
        <v>0</v>
      </c>
      <c r="P87" s="261">
        <f t="shared" si="6"/>
        <v>0</v>
      </c>
      <c r="Q87" s="261">
        <f t="shared" si="6"/>
        <v>0</v>
      </c>
      <c r="R87" s="261">
        <f t="shared" si="6"/>
        <v>0</v>
      </c>
      <c r="S87" s="261">
        <f t="shared" si="6"/>
        <v>0</v>
      </c>
      <c r="T87" s="261">
        <f t="shared" si="6"/>
        <v>0</v>
      </c>
      <c r="U87" s="261">
        <f t="shared" si="6"/>
        <v>0</v>
      </c>
      <c r="V87" s="261">
        <f t="shared" si="6"/>
        <v>0</v>
      </c>
      <c r="W87" s="261">
        <f t="shared" si="6"/>
        <v>0</v>
      </c>
      <c r="X87" s="261">
        <f t="shared" si="6"/>
        <v>0</v>
      </c>
      <c r="Y87" s="261">
        <f t="shared" si="6"/>
        <v>0</v>
      </c>
      <c r="Z87" s="261">
        <f t="shared" si="6"/>
        <v>0</v>
      </c>
      <c r="AA87" s="261">
        <f t="shared" si="6"/>
        <v>0</v>
      </c>
      <c r="AB87" s="261">
        <f t="shared" si="6"/>
        <v>0</v>
      </c>
      <c r="AC87" s="261">
        <f t="shared" si="6"/>
        <v>0</v>
      </c>
      <c r="AD87" s="261">
        <f t="shared" si="6"/>
        <v>0</v>
      </c>
      <c r="AE87" s="261">
        <f t="shared" si="6"/>
        <v>0</v>
      </c>
      <c r="AF87" s="261">
        <f t="shared" si="6"/>
        <v>0</v>
      </c>
      <c r="AG87" s="262">
        <f t="shared" si="6"/>
        <v>0</v>
      </c>
      <c r="AH87" s="262">
        <f t="shared" si="6"/>
        <v>0</v>
      </c>
      <c r="AI87" s="115"/>
    </row>
    <row r="88" spans="2:35" ht="15.75" thickBot="1">
      <c r="E88" s="263" t="s">
        <v>139</v>
      </c>
      <c r="F88" s="264" t="s">
        <v>117</v>
      </c>
      <c r="G88" s="264" t="str">
        <f>CONCATENATE(E88,F88)</f>
        <v>TECHProcurement</v>
      </c>
      <c r="H88" s="264"/>
      <c r="I88" s="265"/>
      <c r="J88" s="270">
        <f t="shared" si="7"/>
        <v>0</v>
      </c>
      <c r="K88" s="266">
        <f t="shared" si="6"/>
        <v>0</v>
      </c>
      <c r="L88" s="266">
        <f t="shared" si="6"/>
        <v>0</v>
      </c>
      <c r="M88" s="266">
        <f t="shared" si="6"/>
        <v>38.994690265486732</v>
      </c>
      <c r="N88" s="266">
        <f t="shared" si="6"/>
        <v>0</v>
      </c>
      <c r="O88" s="266">
        <f t="shared" si="6"/>
        <v>76.460176991150448</v>
      </c>
      <c r="P88" s="266">
        <f t="shared" si="6"/>
        <v>0</v>
      </c>
      <c r="Q88" s="266">
        <f t="shared" si="6"/>
        <v>144.12743362831858</v>
      </c>
      <c r="R88" s="266">
        <f t="shared" si="6"/>
        <v>0</v>
      </c>
      <c r="S88" s="266">
        <f t="shared" si="6"/>
        <v>0</v>
      </c>
      <c r="T88" s="266">
        <f t="shared" si="6"/>
        <v>0</v>
      </c>
      <c r="U88" s="266">
        <f t="shared" si="6"/>
        <v>77.989380530973463</v>
      </c>
      <c r="V88" s="266">
        <f t="shared" si="6"/>
        <v>0</v>
      </c>
      <c r="W88" s="266">
        <f t="shared" si="6"/>
        <v>0</v>
      </c>
      <c r="X88" s="266">
        <f t="shared" si="6"/>
        <v>0</v>
      </c>
      <c r="Y88" s="266">
        <f t="shared" si="6"/>
        <v>0</v>
      </c>
      <c r="Z88" s="266">
        <f t="shared" si="6"/>
        <v>0</v>
      </c>
      <c r="AA88" s="266">
        <f t="shared" si="6"/>
        <v>0</v>
      </c>
      <c r="AB88" s="266">
        <f t="shared" si="6"/>
        <v>0</v>
      </c>
      <c r="AC88" s="266">
        <f t="shared" si="6"/>
        <v>0</v>
      </c>
      <c r="AD88" s="266">
        <f t="shared" si="6"/>
        <v>0</v>
      </c>
      <c r="AE88" s="266">
        <f t="shared" si="6"/>
        <v>0</v>
      </c>
      <c r="AF88" s="266">
        <f t="shared" si="6"/>
        <v>0</v>
      </c>
      <c r="AG88" s="267">
        <f t="shared" si="6"/>
        <v>0</v>
      </c>
      <c r="AH88" s="267">
        <f t="shared" si="6"/>
        <v>337.57168141592922</v>
      </c>
      <c r="AI88" s="115"/>
    </row>
    <row r="89" spans="2:3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row>
    <row r="90" spans="2:35">
      <c r="J90" s="115">
        <f t="shared" ref="J90:AH90" si="8">SUM(J84:J88)</f>
        <v>0</v>
      </c>
      <c r="K90" s="115">
        <f t="shared" si="8"/>
        <v>258.11044247787612</v>
      </c>
      <c r="L90" s="115">
        <f t="shared" si="8"/>
        <v>258.11044247787612</v>
      </c>
      <c r="M90" s="115">
        <f t="shared" si="8"/>
        <v>350.010796460177</v>
      </c>
      <c r="N90" s="115">
        <f t="shared" si="8"/>
        <v>311.01610619469028</v>
      </c>
      <c r="O90" s="115">
        <f t="shared" si="8"/>
        <v>265.72778761061949</v>
      </c>
      <c r="P90" s="115">
        <f t="shared" si="8"/>
        <v>189.26761061946905</v>
      </c>
      <c r="Q90" s="115">
        <f t="shared" si="8"/>
        <v>370.84619469026552</v>
      </c>
      <c r="R90" s="115">
        <f t="shared" si="8"/>
        <v>226.71876106194691</v>
      </c>
      <c r="S90" s="115">
        <f t="shared" si="8"/>
        <v>100.40415929203542</v>
      </c>
      <c r="T90" s="115">
        <f t="shared" si="8"/>
        <v>100.40415929203542</v>
      </c>
      <c r="U90" s="115">
        <f t="shared" si="8"/>
        <v>201.09265486725667</v>
      </c>
      <c r="V90" s="115">
        <f t="shared" si="8"/>
        <v>123.10327433628321</v>
      </c>
      <c r="W90" s="115">
        <f t="shared" si="8"/>
        <v>0</v>
      </c>
      <c r="X90" s="115">
        <f t="shared" si="8"/>
        <v>0</v>
      </c>
      <c r="Y90" s="115">
        <f t="shared" si="8"/>
        <v>0</v>
      </c>
      <c r="Z90" s="115">
        <f t="shared" si="8"/>
        <v>0</v>
      </c>
      <c r="AA90" s="115">
        <f t="shared" si="8"/>
        <v>0</v>
      </c>
      <c r="AB90" s="115">
        <f t="shared" si="8"/>
        <v>0</v>
      </c>
      <c r="AC90" s="115">
        <f t="shared" si="8"/>
        <v>0</v>
      </c>
      <c r="AD90" s="115">
        <f t="shared" si="8"/>
        <v>0</v>
      </c>
      <c r="AE90" s="115">
        <f t="shared" si="8"/>
        <v>0</v>
      </c>
      <c r="AF90" s="115">
        <f t="shared" si="8"/>
        <v>0</v>
      </c>
      <c r="AG90" s="115">
        <f t="shared" si="8"/>
        <v>0</v>
      </c>
      <c r="AH90" s="115">
        <f t="shared" si="8"/>
        <v>2754.8123893805309</v>
      </c>
      <c r="AI90" s="115"/>
    </row>
    <row r="92" spans="2:35">
      <c r="J92" s="608"/>
      <c r="K92" s="608"/>
      <c r="L92" s="608"/>
      <c r="M92" s="608"/>
      <c r="N92" s="608"/>
      <c r="O92" s="608"/>
      <c r="P92" s="608"/>
      <c r="Q92" s="608"/>
      <c r="R92" s="608"/>
      <c r="S92" s="608"/>
      <c r="T92" s="608"/>
      <c r="U92" s="608"/>
      <c r="V92" s="608"/>
      <c r="W92" s="608"/>
      <c r="X92" s="608"/>
      <c r="Y92" s="608"/>
      <c r="Z92" s="608"/>
      <c r="AA92" s="608"/>
      <c r="AB92" s="608"/>
      <c r="AC92" s="608"/>
      <c r="AD92" s="608"/>
      <c r="AE92" s="608"/>
      <c r="AF92" s="608"/>
    </row>
  </sheetData>
  <pageMargins left="0.7" right="0.7" top="0.75" bottom="0.75" header="0.3" footer="0.3"/>
  <pageSetup paperSize="9"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499984740745262"/>
    <pageSetUpPr fitToPage="1"/>
  </sheetPr>
  <dimension ref="A1:S42"/>
  <sheetViews>
    <sheetView workbookViewId="0">
      <selection activeCell="AZ351" sqref="AZ351"/>
    </sheetView>
  </sheetViews>
  <sheetFormatPr defaultColWidth="11.42578125" defaultRowHeight="15"/>
  <cols>
    <col min="2" max="2" width="13" customWidth="1"/>
    <col min="4" max="4" width="23.42578125" customWidth="1"/>
    <col min="5" max="5" width="25.28515625" customWidth="1"/>
    <col min="6" max="13" width="10.7109375" bestFit="1" customWidth="1"/>
    <col min="14" max="14" width="8.28515625" customWidth="1"/>
    <col min="15" max="15" width="9.85546875" customWidth="1"/>
    <col min="16" max="16" width="10.7109375" bestFit="1" customWidth="1"/>
    <col min="17" max="17" width="10.140625" customWidth="1"/>
  </cols>
  <sheetData>
    <row r="1" spans="1:19" ht="15" customHeight="1">
      <c r="F1" s="252">
        <v>2020</v>
      </c>
      <c r="G1" s="252">
        <v>2021</v>
      </c>
      <c r="H1" s="253"/>
      <c r="I1" s="253"/>
      <c r="J1" s="254"/>
      <c r="K1" s="252">
        <v>2022</v>
      </c>
      <c r="L1" s="253"/>
      <c r="M1" s="253"/>
      <c r="N1" s="254"/>
      <c r="O1" s="253">
        <v>2023</v>
      </c>
      <c r="P1" s="253"/>
      <c r="Q1" s="254"/>
    </row>
    <row r="2" spans="1:19">
      <c r="E2" t="s">
        <v>1366</v>
      </c>
      <c r="F2" s="252" t="s">
        <v>536</v>
      </c>
      <c r="G2" s="253"/>
      <c r="H2" s="254"/>
      <c r="I2" s="252" t="s">
        <v>537</v>
      </c>
      <c r="J2" s="253"/>
      <c r="K2" s="253"/>
      <c r="L2" s="253"/>
      <c r="M2" s="253"/>
      <c r="N2" s="253"/>
      <c r="O2" s="253"/>
      <c r="P2" s="253"/>
      <c r="Q2" s="254"/>
    </row>
    <row r="3" spans="1:19" ht="30.75" thickBot="1">
      <c r="A3" t="s">
        <v>22</v>
      </c>
      <c r="B3" t="s">
        <v>824</v>
      </c>
      <c r="C3" s="255" t="s">
        <v>1367</v>
      </c>
      <c r="D3" s="255" t="s">
        <v>1368</v>
      </c>
      <c r="E3" s="251" t="s">
        <v>1369</v>
      </c>
      <c r="F3" s="226" t="s">
        <v>551</v>
      </c>
      <c r="G3" s="226" t="s">
        <v>548</v>
      </c>
      <c r="H3" s="226" t="s">
        <v>549</v>
      </c>
      <c r="I3" s="226" t="s">
        <v>550</v>
      </c>
      <c r="J3" s="226" t="s">
        <v>551</v>
      </c>
      <c r="K3" s="226" t="s">
        <v>548</v>
      </c>
      <c r="L3" s="226" t="s">
        <v>549</v>
      </c>
      <c r="M3" s="226" t="s">
        <v>550</v>
      </c>
      <c r="N3" s="226" t="s">
        <v>551</v>
      </c>
      <c r="O3" s="226" t="s">
        <v>548</v>
      </c>
      <c r="P3" s="226" t="s">
        <v>549</v>
      </c>
      <c r="Q3" s="226" t="s">
        <v>550</v>
      </c>
      <c r="R3" s="248" t="s">
        <v>748</v>
      </c>
      <c r="S3" s="248" t="s">
        <v>755</v>
      </c>
    </row>
    <row r="4" spans="1:19" ht="15.75" thickBot="1">
      <c r="A4" s="69" t="s">
        <v>32</v>
      </c>
      <c r="B4" t="str">
        <f>VLOOKUP(A4,'Price Table 8 Syderal'!A:B,2,FALSE)</f>
        <v>Management</v>
      </c>
      <c r="C4" s="250">
        <v>110600</v>
      </c>
      <c r="D4" s="655" t="s">
        <v>1370</v>
      </c>
      <c r="E4" s="227" t="s">
        <v>13</v>
      </c>
      <c r="F4" s="228">
        <f t="shared" ref="F4:Q4" si="0">F26/1000</f>
        <v>26.761061946902657</v>
      </c>
      <c r="G4" s="228">
        <f t="shared" si="0"/>
        <v>26.761061946902657</v>
      </c>
      <c r="H4" s="228">
        <f t="shared" si="0"/>
        <v>26.761061946902657</v>
      </c>
      <c r="I4" s="228">
        <f t="shared" si="0"/>
        <v>26.761061946902657</v>
      </c>
      <c r="J4" s="228">
        <f t="shared" si="0"/>
        <v>26.761061946902657</v>
      </c>
      <c r="K4" s="228">
        <f t="shared" si="0"/>
        <v>26.761061946902657</v>
      </c>
      <c r="L4" s="228">
        <f t="shared" si="0"/>
        <v>26.761061946902657</v>
      </c>
      <c r="M4" s="228">
        <f t="shared" si="0"/>
        <v>26.761061946902657</v>
      </c>
      <c r="N4" s="228">
        <f t="shared" si="0"/>
        <v>26.761061946902657</v>
      </c>
      <c r="O4" s="228">
        <f t="shared" si="0"/>
        <v>26.761061946902657</v>
      </c>
      <c r="P4" s="228">
        <f t="shared" si="0"/>
        <v>26.761061946902657</v>
      </c>
      <c r="Q4" s="229">
        <f t="shared" si="0"/>
        <v>26.761061946902657</v>
      </c>
      <c r="R4" s="114">
        <f t="shared" ref="R4:R18" si="1">SUM(F4:Q4)</f>
        <v>321.13274336283189</v>
      </c>
      <c r="S4">
        <v>1920</v>
      </c>
    </row>
    <row r="5" spans="1:19" ht="15.75" thickBot="1">
      <c r="C5" s="250">
        <v>110600</v>
      </c>
      <c r="D5" s="656"/>
      <c r="E5" s="230" t="s">
        <v>117</v>
      </c>
      <c r="F5" s="230">
        <f t="shared" ref="F5:Q5" si="2">F27/1000</f>
        <v>0</v>
      </c>
      <c r="G5" s="230">
        <f t="shared" si="2"/>
        <v>0</v>
      </c>
      <c r="H5" s="230">
        <f t="shared" si="2"/>
        <v>0</v>
      </c>
      <c r="I5" s="230">
        <f t="shared" si="2"/>
        <v>0</v>
      </c>
      <c r="J5" s="230">
        <f t="shared" si="2"/>
        <v>0</v>
      </c>
      <c r="K5" s="230">
        <f t="shared" si="2"/>
        <v>0</v>
      </c>
      <c r="L5" s="230">
        <f t="shared" si="2"/>
        <v>0</v>
      </c>
      <c r="M5" s="230">
        <f t="shared" si="2"/>
        <v>0</v>
      </c>
      <c r="N5" s="230">
        <f t="shared" si="2"/>
        <v>0</v>
      </c>
      <c r="O5" s="230">
        <f t="shared" si="2"/>
        <v>0</v>
      </c>
      <c r="P5" s="230">
        <f t="shared" si="2"/>
        <v>0</v>
      </c>
      <c r="Q5" s="231">
        <f t="shared" si="2"/>
        <v>0</v>
      </c>
      <c r="R5" s="114">
        <f t="shared" si="1"/>
        <v>0</v>
      </c>
    </row>
    <row r="6" spans="1:19" ht="15.75" thickBot="1">
      <c r="C6" s="250">
        <v>110600</v>
      </c>
      <c r="D6" s="657"/>
      <c r="E6" s="232" t="s">
        <v>1371</v>
      </c>
      <c r="F6" s="233">
        <f t="shared" ref="F6:Q6" si="3">F28/1000</f>
        <v>26.761061946902657</v>
      </c>
      <c r="G6" s="233">
        <f t="shared" si="3"/>
        <v>26.761061946902657</v>
      </c>
      <c r="H6" s="233">
        <f t="shared" si="3"/>
        <v>26.761061946902657</v>
      </c>
      <c r="I6" s="233">
        <f t="shared" si="3"/>
        <v>26.761061946902657</v>
      </c>
      <c r="J6" s="233">
        <f t="shared" si="3"/>
        <v>26.761061946902657</v>
      </c>
      <c r="K6" s="233">
        <f t="shared" si="3"/>
        <v>26.761061946902657</v>
      </c>
      <c r="L6" s="233">
        <f t="shared" si="3"/>
        <v>26.761061946902657</v>
      </c>
      <c r="M6" s="233">
        <f t="shared" si="3"/>
        <v>26.761061946902657</v>
      </c>
      <c r="N6" s="233">
        <f t="shared" si="3"/>
        <v>26.761061946902657</v>
      </c>
      <c r="O6" s="233">
        <f t="shared" si="3"/>
        <v>26.761061946902657</v>
      </c>
      <c r="P6" s="233">
        <f t="shared" si="3"/>
        <v>26.761061946902657</v>
      </c>
      <c r="Q6" s="234">
        <f t="shared" si="3"/>
        <v>26.761061946902657</v>
      </c>
      <c r="R6" s="114">
        <f t="shared" si="1"/>
        <v>321.13274336283189</v>
      </c>
    </row>
    <row r="7" spans="1:19" ht="15.75" thickBot="1">
      <c r="A7" t="s">
        <v>76</v>
      </c>
      <c r="B7" t="str">
        <f>VLOOKUP(A7,'Price Table 8 Syderal'!A:B,2,FALSE)</f>
        <v>Product Assurance</v>
      </c>
      <c r="C7" s="249">
        <v>130500</v>
      </c>
      <c r="D7" s="649" t="s">
        <v>1372</v>
      </c>
      <c r="E7" s="235" t="s">
        <v>13</v>
      </c>
      <c r="F7" s="236">
        <f t="shared" ref="F7:Q7" si="4">F29/1000</f>
        <v>16.742389380530977</v>
      </c>
      <c r="G7" s="236">
        <f t="shared" si="4"/>
        <v>16.742389380530977</v>
      </c>
      <c r="H7" s="236">
        <f t="shared" si="4"/>
        <v>16.742389380530977</v>
      </c>
      <c r="I7" s="236">
        <f t="shared" si="4"/>
        <v>16.742389380530977</v>
      </c>
      <c r="J7" s="236">
        <f t="shared" si="4"/>
        <v>16.742389380530977</v>
      </c>
      <c r="K7" s="236">
        <f t="shared" si="4"/>
        <v>16.742389380530977</v>
      </c>
      <c r="L7" s="236">
        <f t="shared" si="4"/>
        <v>16.742389380530977</v>
      </c>
      <c r="M7" s="236">
        <f t="shared" si="4"/>
        <v>16.742389380530977</v>
      </c>
      <c r="N7" s="236">
        <f t="shared" si="4"/>
        <v>16.742389380530977</v>
      </c>
      <c r="O7" s="236">
        <f t="shared" si="4"/>
        <v>16.742389380530977</v>
      </c>
      <c r="P7" s="236">
        <f t="shared" si="4"/>
        <v>16.742389380530977</v>
      </c>
      <c r="Q7" s="237">
        <f t="shared" si="4"/>
        <v>16.742389380530977</v>
      </c>
      <c r="R7" s="114">
        <f t="shared" si="1"/>
        <v>200.90867256637168</v>
      </c>
      <c r="S7">
        <v>1430</v>
      </c>
    </row>
    <row r="8" spans="1:19" ht="15.75" thickBot="1">
      <c r="C8" s="249">
        <v>130500</v>
      </c>
      <c r="D8" s="650"/>
      <c r="E8" s="238" t="s">
        <v>117</v>
      </c>
      <c r="F8" s="239">
        <f t="shared" ref="F8:Q8" si="5">F30/1000</f>
        <v>0</v>
      </c>
      <c r="G8" s="239">
        <f t="shared" si="5"/>
        <v>0</v>
      </c>
      <c r="H8" s="239">
        <f t="shared" si="5"/>
        <v>0</v>
      </c>
      <c r="I8" s="239">
        <f t="shared" si="5"/>
        <v>0</v>
      </c>
      <c r="J8" s="239">
        <f t="shared" si="5"/>
        <v>0</v>
      </c>
      <c r="K8" s="239">
        <f t="shared" si="5"/>
        <v>0</v>
      </c>
      <c r="L8" s="239">
        <f t="shared" si="5"/>
        <v>0</v>
      </c>
      <c r="M8" s="239">
        <f t="shared" si="5"/>
        <v>0</v>
      </c>
      <c r="N8" s="239">
        <f t="shared" si="5"/>
        <v>0</v>
      </c>
      <c r="O8" s="239">
        <f t="shared" si="5"/>
        <v>0</v>
      </c>
      <c r="P8" s="239">
        <f t="shared" si="5"/>
        <v>0</v>
      </c>
      <c r="Q8" s="240">
        <f t="shared" si="5"/>
        <v>0</v>
      </c>
      <c r="R8" s="114">
        <f t="shared" si="1"/>
        <v>0</v>
      </c>
    </row>
    <row r="9" spans="1:19" ht="15.75" thickBot="1">
      <c r="C9" s="249">
        <v>130500</v>
      </c>
      <c r="D9" s="651"/>
      <c r="E9" s="241" t="s">
        <v>534</v>
      </c>
      <c r="F9" s="242">
        <f t="shared" ref="F9:Q9" si="6">F31/1000</f>
        <v>16.742389380530977</v>
      </c>
      <c r="G9" s="242">
        <f t="shared" si="6"/>
        <v>16.742389380530977</v>
      </c>
      <c r="H9" s="242">
        <f t="shared" si="6"/>
        <v>16.742389380530977</v>
      </c>
      <c r="I9" s="242">
        <f t="shared" si="6"/>
        <v>16.742389380530977</v>
      </c>
      <c r="J9" s="242">
        <f t="shared" si="6"/>
        <v>16.742389380530977</v>
      </c>
      <c r="K9" s="242">
        <f t="shared" si="6"/>
        <v>16.742389380530977</v>
      </c>
      <c r="L9" s="242">
        <f t="shared" si="6"/>
        <v>16.742389380530977</v>
      </c>
      <c r="M9" s="242">
        <f t="shared" si="6"/>
        <v>16.742389380530977</v>
      </c>
      <c r="N9" s="242">
        <f t="shared" si="6"/>
        <v>16.742389380530977</v>
      </c>
      <c r="O9" s="242">
        <f t="shared" si="6"/>
        <v>16.742389380530977</v>
      </c>
      <c r="P9" s="242">
        <f t="shared" si="6"/>
        <v>16.742389380530977</v>
      </c>
      <c r="Q9" s="243">
        <f t="shared" si="6"/>
        <v>16.742389380530977</v>
      </c>
      <c r="R9" s="114">
        <f t="shared" si="1"/>
        <v>200.90867256637168</v>
      </c>
    </row>
    <row r="10" spans="1:19" ht="15.75" thickBot="1">
      <c r="A10" t="s">
        <v>230</v>
      </c>
      <c r="B10" t="str">
        <f>VLOOKUP(A10,'Price Table 8 Syderal'!A:B,2,FALSE)</f>
        <v>RVSP - Engineering and SW</v>
      </c>
      <c r="C10" s="250">
        <v>461010</v>
      </c>
      <c r="D10" s="655" t="s">
        <v>267</v>
      </c>
      <c r="E10" s="227" t="s">
        <v>13</v>
      </c>
      <c r="F10" s="244">
        <f t="shared" ref="F10:Q10" si="7">F32/1000</f>
        <v>214.60699115044247</v>
      </c>
      <c r="G10" s="244">
        <f t="shared" si="7"/>
        <v>214.60699115044247</v>
      </c>
      <c r="H10" s="244">
        <f t="shared" si="7"/>
        <v>267.51265486725663</v>
      </c>
      <c r="I10" s="244">
        <f t="shared" si="7"/>
        <v>267.51265486725663</v>
      </c>
      <c r="J10" s="244">
        <f t="shared" si="7"/>
        <v>0</v>
      </c>
      <c r="K10" s="244">
        <f t="shared" si="7"/>
        <v>0</v>
      </c>
      <c r="L10" s="244">
        <f t="shared" si="7"/>
        <v>0</v>
      </c>
      <c r="M10" s="244">
        <f t="shared" si="7"/>
        <v>0</v>
      </c>
      <c r="N10" s="244">
        <f t="shared" si="7"/>
        <v>0</v>
      </c>
      <c r="O10" s="244">
        <f t="shared" si="7"/>
        <v>0</v>
      </c>
      <c r="P10" s="244">
        <f t="shared" si="7"/>
        <v>0</v>
      </c>
      <c r="Q10" s="245">
        <f t="shared" si="7"/>
        <v>0</v>
      </c>
      <c r="R10" s="114">
        <f t="shared" si="1"/>
        <v>964.23929203539819</v>
      </c>
      <c r="S10">
        <v>6940</v>
      </c>
    </row>
    <row r="11" spans="1:19" ht="15.75" thickBot="1">
      <c r="A11" t="s">
        <v>138</v>
      </c>
      <c r="B11" t="str">
        <f>VLOOKUP(A11,'Price Table 8 Syderal'!A:B,2,FALSE)</f>
        <v>RVSP - HW procurements</v>
      </c>
      <c r="C11" s="250">
        <v>461010</v>
      </c>
      <c r="D11" s="656"/>
      <c r="E11" s="230" t="s">
        <v>117</v>
      </c>
      <c r="F11" s="246">
        <f t="shared" ref="F11:Q11" si="8">F33/1000</f>
        <v>0</v>
      </c>
      <c r="G11" s="246">
        <f t="shared" si="8"/>
        <v>0</v>
      </c>
      <c r="H11" s="246">
        <f t="shared" si="8"/>
        <v>38.994690265486732</v>
      </c>
      <c r="I11" s="246">
        <f t="shared" si="8"/>
        <v>0</v>
      </c>
      <c r="J11" s="246">
        <f t="shared" si="8"/>
        <v>0</v>
      </c>
      <c r="K11" s="246">
        <f t="shared" si="8"/>
        <v>0</v>
      </c>
      <c r="L11" s="246">
        <f t="shared" si="8"/>
        <v>0</v>
      </c>
      <c r="M11" s="246">
        <f t="shared" si="8"/>
        <v>0</v>
      </c>
      <c r="N11" s="246">
        <f t="shared" si="8"/>
        <v>0</v>
      </c>
      <c r="O11" s="246">
        <f t="shared" si="8"/>
        <v>0</v>
      </c>
      <c r="P11" s="246">
        <f t="shared" si="8"/>
        <v>0</v>
      </c>
      <c r="Q11" s="247">
        <f t="shared" si="8"/>
        <v>0</v>
      </c>
      <c r="R11" s="114">
        <f t="shared" si="1"/>
        <v>38.994690265486732</v>
      </c>
    </row>
    <row r="12" spans="1:19" ht="15.75" thickBot="1">
      <c r="C12" s="250">
        <v>461010</v>
      </c>
      <c r="D12" s="657"/>
      <c r="E12" s="232" t="s">
        <v>534</v>
      </c>
      <c r="F12" s="233">
        <f t="shared" ref="F12:Q12" si="9">F34/1000</f>
        <v>214.60699115044247</v>
      </c>
      <c r="G12" s="233">
        <f t="shared" si="9"/>
        <v>214.60699115044247</v>
      </c>
      <c r="H12" s="233">
        <f t="shared" si="9"/>
        <v>306.50734513274335</v>
      </c>
      <c r="I12" s="233">
        <f t="shared" si="9"/>
        <v>267.51265486725663</v>
      </c>
      <c r="J12" s="233">
        <f t="shared" si="9"/>
        <v>0</v>
      </c>
      <c r="K12" s="233">
        <f t="shared" si="9"/>
        <v>0</v>
      </c>
      <c r="L12" s="233">
        <f t="shared" si="9"/>
        <v>0</v>
      </c>
      <c r="M12" s="233">
        <f t="shared" si="9"/>
        <v>0</v>
      </c>
      <c r="N12" s="233">
        <f t="shared" si="9"/>
        <v>0</v>
      </c>
      <c r="O12" s="233">
        <f t="shared" si="9"/>
        <v>0</v>
      </c>
      <c r="P12" s="233">
        <f t="shared" si="9"/>
        <v>0</v>
      </c>
      <c r="Q12" s="234">
        <f t="shared" si="9"/>
        <v>0</v>
      </c>
      <c r="R12" s="114">
        <f t="shared" si="1"/>
        <v>1003.2339823008849</v>
      </c>
    </row>
    <row r="13" spans="1:19" ht="15.75" thickBot="1">
      <c r="A13" t="s">
        <v>230</v>
      </c>
      <c r="B13" t="str">
        <f>VLOOKUP(A13,'Price Table 8 Syderal'!A:B,2,FALSE)</f>
        <v>RVSP - Engineering and SW</v>
      </c>
      <c r="C13" s="249">
        <v>461020</v>
      </c>
      <c r="D13" s="649" t="s">
        <v>1373</v>
      </c>
      <c r="E13" s="235" t="s">
        <v>13</v>
      </c>
      <c r="F13" s="236">
        <f t="shared" ref="F13:Q13" si="10">F35/1000</f>
        <v>0</v>
      </c>
      <c r="G13" s="236">
        <f t="shared" si="10"/>
        <v>0</v>
      </c>
      <c r="H13" s="236">
        <f t="shared" si="10"/>
        <v>0</v>
      </c>
      <c r="I13" s="236">
        <f t="shared" si="10"/>
        <v>0</v>
      </c>
      <c r="J13" s="236">
        <f t="shared" si="10"/>
        <v>145.76415929203543</v>
      </c>
      <c r="K13" s="236">
        <f t="shared" si="10"/>
        <v>145.76415929203543</v>
      </c>
      <c r="L13" s="236">
        <f t="shared" si="10"/>
        <v>183.21530973451328</v>
      </c>
      <c r="M13" s="236">
        <f t="shared" si="10"/>
        <v>183.21530973451328</v>
      </c>
      <c r="N13" s="236">
        <f t="shared" si="10"/>
        <v>0</v>
      </c>
      <c r="O13" s="236">
        <f t="shared" si="10"/>
        <v>0</v>
      </c>
      <c r="P13" s="236">
        <f t="shared" si="10"/>
        <v>0</v>
      </c>
      <c r="Q13" s="237">
        <f t="shared" si="10"/>
        <v>0</v>
      </c>
      <c r="R13" s="114">
        <f t="shared" si="1"/>
        <v>657.95893805309743</v>
      </c>
      <c r="S13">
        <f>4740+40</f>
        <v>4780</v>
      </c>
    </row>
    <row r="14" spans="1:19" ht="15.75" thickBot="1">
      <c r="A14" t="s">
        <v>138</v>
      </c>
      <c r="B14" t="str">
        <f>VLOOKUP(A14,'Price Table 8 Syderal'!A:B,2,FALSE)</f>
        <v>RVSP - HW procurements</v>
      </c>
      <c r="C14" s="249">
        <v>461020</v>
      </c>
      <c r="D14" s="650"/>
      <c r="E14" s="238" t="s">
        <v>117</v>
      </c>
      <c r="F14" s="239">
        <f t="shared" ref="F14:Q14" si="11">F36/1000</f>
        <v>0</v>
      </c>
      <c r="G14" s="239">
        <f t="shared" si="11"/>
        <v>0</v>
      </c>
      <c r="H14" s="239">
        <f t="shared" si="11"/>
        <v>0</v>
      </c>
      <c r="I14" s="239">
        <f t="shared" si="11"/>
        <v>0</v>
      </c>
      <c r="J14" s="239">
        <f t="shared" si="11"/>
        <v>76.460176991150448</v>
      </c>
      <c r="K14" s="239">
        <f t="shared" si="11"/>
        <v>0</v>
      </c>
      <c r="L14" s="239">
        <f t="shared" si="11"/>
        <v>144.12743362831858</v>
      </c>
      <c r="M14" s="239">
        <f t="shared" si="11"/>
        <v>0</v>
      </c>
      <c r="N14" s="239">
        <f t="shared" si="11"/>
        <v>0</v>
      </c>
      <c r="O14" s="239">
        <f t="shared" si="11"/>
        <v>0</v>
      </c>
      <c r="P14" s="239">
        <f t="shared" si="11"/>
        <v>0</v>
      </c>
      <c r="Q14" s="240">
        <f t="shared" si="11"/>
        <v>0</v>
      </c>
      <c r="R14" s="114">
        <f t="shared" si="1"/>
        <v>220.58761061946905</v>
      </c>
    </row>
    <row r="15" spans="1:19" ht="15.75" thickBot="1">
      <c r="C15" s="249">
        <v>461020</v>
      </c>
      <c r="D15" s="651"/>
      <c r="E15" s="241" t="s">
        <v>534</v>
      </c>
      <c r="F15" s="242">
        <f t="shared" ref="F15:Q15" si="12">F37/1000</f>
        <v>0</v>
      </c>
      <c r="G15" s="242">
        <f t="shared" si="12"/>
        <v>0</v>
      </c>
      <c r="H15" s="242">
        <f t="shared" si="12"/>
        <v>0</v>
      </c>
      <c r="I15" s="242">
        <f t="shared" si="12"/>
        <v>0</v>
      </c>
      <c r="J15" s="242">
        <f t="shared" si="12"/>
        <v>222.22433628318586</v>
      </c>
      <c r="K15" s="242">
        <f t="shared" si="12"/>
        <v>145.76415929203543</v>
      </c>
      <c r="L15" s="242">
        <f t="shared" si="12"/>
        <v>327.34274336283187</v>
      </c>
      <c r="M15" s="242">
        <f t="shared" si="12"/>
        <v>183.21530973451328</v>
      </c>
      <c r="N15" s="242">
        <f t="shared" si="12"/>
        <v>0</v>
      </c>
      <c r="O15" s="242">
        <f t="shared" si="12"/>
        <v>0</v>
      </c>
      <c r="P15" s="242">
        <f t="shared" si="12"/>
        <v>0</v>
      </c>
      <c r="Q15" s="243">
        <f t="shared" si="12"/>
        <v>0</v>
      </c>
      <c r="R15" s="114">
        <f t="shared" si="1"/>
        <v>878.54654867256647</v>
      </c>
    </row>
    <row r="16" spans="1:19" ht="15.75" thickBot="1">
      <c r="A16" t="s">
        <v>230</v>
      </c>
      <c r="B16" t="str">
        <f>VLOOKUP(A16,'Price Table 8 Syderal'!A:B,2,FALSE)</f>
        <v>RVSP - Engineering and SW</v>
      </c>
      <c r="C16" s="250">
        <v>461030</v>
      </c>
      <c r="D16" s="655" t="s">
        <v>1374</v>
      </c>
      <c r="E16" s="227" t="s">
        <v>13</v>
      </c>
      <c r="F16" s="228">
        <f t="shared" ref="F16:Q16" si="13">F38/1000</f>
        <v>0</v>
      </c>
      <c r="G16" s="228">
        <f t="shared" si="13"/>
        <v>0</v>
      </c>
      <c r="H16" s="228">
        <f t="shared" si="13"/>
        <v>0</v>
      </c>
      <c r="I16" s="228">
        <f t="shared" si="13"/>
        <v>0</v>
      </c>
      <c r="J16" s="228">
        <f t="shared" si="13"/>
        <v>0</v>
      </c>
      <c r="K16" s="228">
        <f t="shared" si="13"/>
        <v>0</v>
      </c>
      <c r="L16" s="228">
        <f t="shared" si="13"/>
        <v>0</v>
      </c>
      <c r="M16" s="228">
        <f t="shared" si="13"/>
        <v>0</v>
      </c>
      <c r="N16" s="228">
        <f t="shared" si="13"/>
        <v>56.900707964601779</v>
      </c>
      <c r="O16" s="228">
        <f t="shared" si="13"/>
        <v>56.900707964601779</v>
      </c>
      <c r="P16" s="228">
        <f t="shared" si="13"/>
        <v>79.599823008849569</v>
      </c>
      <c r="Q16" s="229">
        <f t="shared" si="13"/>
        <v>79.599823008849569</v>
      </c>
      <c r="R16" s="114">
        <f t="shared" si="1"/>
        <v>273.00106194690272</v>
      </c>
      <c r="S16">
        <v>2040</v>
      </c>
    </row>
    <row r="17" spans="1:19" ht="15.75" thickBot="1">
      <c r="A17" t="s">
        <v>138</v>
      </c>
      <c r="B17" t="str">
        <f>VLOOKUP(A17,'Price Table 8 Syderal'!A:B,2,FALSE)</f>
        <v>RVSP - HW procurements</v>
      </c>
      <c r="C17" s="250">
        <v>461030</v>
      </c>
      <c r="D17" s="656"/>
      <c r="E17" s="230" t="s">
        <v>117</v>
      </c>
      <c r="F17" s="246">
        <f t="shared" ref="F17:Q17" si="14">F39/1000</f>
        <v>0</v>
      </c>
      <c r="G17" s="246">
        <f t="shared" si="14"/>
        <v>0</v>
      </c>
      <c r="H17" s="246">
        <f t="shared" si="14"/>
        <v>0</v>
      </c>
      <c r="I17" s="246">
        <f t="shared" si="14"/>
        <v>0</v>
      </c>
      <c r="J17" s="246">
        <f t="shared" si="14"/>
        <v>0</v>
      </c>
      <c r="K17" s="246">
        <f t="shared" si="14"/>
        <v>0</v>
      </c>
      <c r="L17" s="246">
        <f t="shared" si="14"/>
        <v>0</v>
      </c>
      <c r="M17" s="246">
        <f t="shared" si="14"/>
        <v>0</v>
      </c>
      <c r="N17" s="246">
        <f t="shared" si="14"/>
        <v>0</v>
      </c>
      <c r="O17" s="246">
        <f t="shared" si="14"/>
        <v>0</v>
      </c>
      <c r="P17" s="246">
        <f t="shared" si="14"/>
        <v>77.989380530973463</v>
      </c>
      <c r="Q17" s="247">
        <f t="shared" si="14"/>
        <v>0</v>
      </c>
      <c r="R17" s="114">
        <f t="shared" si="1"/>
        <v>77.989380530973463</v>
      </c>
    </row>
    <row r="18" spans="1:19" ht="15.75" thickBot="1">
      <c r="C18" s="250">
        <v>461030</v>
      </c>
      <c r="D18" s="657"/>
      <c r="E18" s="232" t="s">
        <v>534</v>
      </c>
      <c r="F18" s="233">
        <f t="shared" ref="F18:Q18" si="15">F40/1000</f>
        <v>0</v>
      </c>
      <c r="G18" s="233">
        <f t="shared" si="15"/>
        <v>0</v>
      </c>
      <c r="H18" s="233">
        <f t="shared" si="15"/>
        <v>0</v>
      </c>
      <c r="I18" s="233">
        <f t="shared" si="15"/>
        <v>0</v>
      </c>
      <c r="J18" s="233">
        <f t="shared" si="15"/>
        <v>0</v>
      </c>
      <c r="K18" s="233">
        <f t="shared" si="15"/>
        <v>0</v>
      </c>
      <c r="L18" s="233">
        <f t="shared" si="15"/>
        <v>0</v>
      </c>
      <c r="M18" s="233">
        <f t="shared" si="15"/>
        <v>0</v>
      </c>
      <c r="N18" s="233">
        <f t="shared" si="15"/>
        <v>56.900707964601779</v>
      </c>
      <c r="O18" s="233">
        <f t="shared" si="15"/>
        <v>56.900707964601779</v>
      </c>
      <c r="P18" s="233">
        <f t="shared" si="15"/>
        <v>157.58920353982302</v>
      </c>
      <c r="Q18" s="234">
        <f t="shared" si="15"/>
        <v>79.599823008849569</v>
      </c>
      <c r="R18" s="114">
        <f t="shared" si="1"/>
        <v>350.99044247787612</v>
      </c>
    </row>
    <row r="20" spans="1:19">
      <c r="F20" s="114">
        <f>SUM(F18,F15,F12,F9,F6)</f>
        <v>258.11044247787606</v>
      </c>
      <c r="G20" s="114">
        <f t="shared" ref="G20:Q20" si="16">SUM(G18,G15,G12,G9,G6)</f>
        <v>258.11044247787606</v>
      </c>
      <c r="H20" s="114">
        <f t="shared" si="16"/>
        <v>350.010796460177</v>
      </c>
      <c r="I20" s="114">
        <f t="shared" si="16"/>
        <v>311.01610619469028</v>
      </c>
      <c r="J20" s="114">
        <f t="shared" si="16"/>
        <v>265.72778761061949</v>
      </c>
      <c r="K20" s="114">
        <f t="shared" si="16"/>
        <v>189.26761061946905</v>
      </c>
      <c r="L20" s="114">
        <f t="shared" si="16"/>
        <v>370.84619469026552</v>
      </c>
      <c r="M20" s="114">
        <f t="shared" si="16"/>
        <v>226.71876106194691</v>
      </c>
      <c r="N20" s="114">
        <f t="shared" si="16"/>
        <v>100.40415929203542</v>
      </c>
      <c r="O20" s="114">
        <f t="shared" si="16"/>
        <v>100.40415929203542</v>
      </c>
      <c r="P20" s="114">
        <f t="shared" si="16"/>
        <v>201.09265486725664</v>
      </c>
      <c r="Q20" s="114">
        <f t="shared" si="16"/>
        <v>123.10327433628321</v>
      </c>
      <c r="R20" s="114">
        <f>SUM(F20:Q20)</f>
        <v>2754.8123893805305</v>
      </c>
      <c r="S20" s="114">
        <f>SUM(S4:S19)</f>
        <v>17110</v>
      </c>
    </row>
    <row r="21" spans="1:19">
      <c r="F21" s="114"/>
      <c r="G21" s="114"/>
      <c r="H21" s="114"/>
      <c r="I21" s="114"/>
      <c r="J21" s="114"/>
      <c r="K21" s="114"/>
      <c r="L21" s="114"/>
      <c r="M21" s="114"/>
      <c r="N21" s="114"/>
      <c r="O21" s="114"/>
      <c r="P21" s="114"/>
      <c r="Q21" s="114"/>
      <c r="R21" s="114"/>
      <c r="S21" s="114"/>
    </row>
    <row r="22" spans="1:19">
      <c r="F22" s="114"/>
      <c r="G22" s="114"/>
      <c r="H22" s="114"/>
      <c r="I22" s="114"/>
      <c r="J22" s="114"/>
      <c r="K22" s="114"/>
      <c r="L22" s="114"/>
      <c r="M22" s="114"/>
      <c r="N22" s="114"/>
      <c r="O22" s="114"/>
      <c r="P22" s="114"/>
      <c r="Q22" s="114"/>
      <c r="R22" s="114"/>
      <c r="S22" s="114"/>
    </row>
    <row r="23" spans="1:19" ht="15" customHeight="1">
      <c r="F23" s="252">
        <v>2020</v>
      </c>
      <c r="G23" s="253"/>
      <c r="H23" s="253"/>
      <c r="I23" s="254"/>
      <c r="J23" s="252">
        <v>2021</v>
      </c>
      <c r="K23" s="253"/>
      <c r="L23" s="253"/>
      <c r="M23" s="254"/>
      <c r="N23" s="252">
        <v>2022</v>
      </c>
      <c r="O23" s="253"/>
      <c r="P23" s="253"/>
      <c r="Q23" s="254"/>
    </row>
    <row r="24" spans="1:19">
      <c r="E24" t="s">
        <v>1375</v>
      </c>
      <c r="F24" s="252" t="s">
        <v>536</v>
      </c>
      <c r="G24" s="253"/>
      <c r="H24" s="254"/>
      <c r="I24" s="252" t="s">
        <v>537</v>
      </c>
      <c r="J24" s="253"/>
      <c r="K24" s="253"/>
      <c r="L24" s="253"/>
      <c r="M24" s="253"/>
      <c r="N24" s="253"/>
      <c r="O24" s="253"/>
      <c r="P24" s="253"/>
      <c r="Q24" s="254"/>
    </row>
    <row r="25" spans="1:19" ht="30.75" thickBot="1">
      <c r="C25" s="255" t="s">
        <v>1367</v>
      </c>
      <c r="D25" s="255" t="s">
        <v>1368</v>
      </c>
      <c r="E25" s="251" t="s">
        <v>1369</v>
      </c>
      <c r="F25" s="226" t="s">
        <v>548</v>
      </c>
      <c r="G25" s="226" t="s">
        <v>549</v>
      </c>
      <c r="H25" s="226" t="s">
        <v>550</v>
      </c>
      <c r="I25" s="226" t="s">
        <v>551</v>
      </c>
      <c r="J25" s="226" t="s">
        <v>548</v>
      </c>
      <c r="K25" s="226" t="s">
        <v>549</v>
      </c>
      <c r="L25" s="226" t="s">
        <v>550</v>
      </c>
      <c r="M25" s="226" t="s">
        <v>551</v>
      </c>
      <c r="N25" s="226" t="s">
        <v>548</v>
      </c>
      <c r="O25" s="226" t="s">
        <v>549</v>
      </c>
      <c r="P25" s="226" t="s">
        <v>550</v>
      </c>
      <c r="Q25" s="226" t="s">
        <v>551</v>
      </c>
    </row>
    <row r="26" spans="1:19" ht="15" customHeight="1">
      <c r="B26" t="s">
        <v>32</v>
      </c>
      <c r="C26" s="658">
        <v>110600</v>
      </c>
      <c r="D26" s="655" t="s">
        <v>1370</v>
      </c>
      <c r="E26" s="227" t="s">
        <v>13</v>
      </c>
      <c r="F26" s="539">
        <v>26761.061946902657</v>
      </c>
      <c r="G26" s="539">
        <v>26761.061946902657</v>
      </c>
      <c r="H26" s="539">
        <v>26761.061946902657</v>
      </c>
      <c r="I26" s="539">
        <v>26761.061946902657</v>
      </c>
      <c r="J26" s="539">
        <v>26761.061946902657</v>
      </c>
      <c r="K26" s="539">
        <v>26761.061946902657</v>
      </c>
      <c r="L26" s="539">
        <v>26761.061946902657</v>
      </c>
      <c r="M26" s="539">
        <v>26761.061946902657</v>
      </c>
      <c r="N26" s="539">
        <v>26761.061946902657</v>
      </c>
      <c r="O26" s="539">
        <v>26761.061946902657</v>
      </c>
      <c r="P26" s="539">
        <v>26761.061946902657</v>
      </c>
      <c r="Q26" s="540">
        <v>26761.061946902657</v>
      </c>
    </row>
    <row r="27" spans="1:19">
      <c r="C27" s="659"/>
      <c r="D27" s="656"/>
      <c r="E27" s="230" t="s">
        <v>117</v>
      </c>
      <c r="F27" s="541">
        <v>0</v>
      </c>
      <c r="G27" s="541">
        <v>0</v>
      </c>
      <c r="H27" s="541">
        <v>0</v>
      </c>
      <c r="I27" s="541">
        <v>0</v>
      </c>
      <c r="J27" s="541">
        <v>0</v>
      </c>
      <c r="K27" s="541">
        <v>0</v>
      </c>
      <c r="L27" s="541">
        <v>0</v>
      </c>
      <c r="M27" s="541">
        <v>0</v>
      </c>
      <c r="N27" s="541">
        <v>0</v>
      </c>
      <c r="O27" s="541">
        <v>0</v>
      </c>
      <c r="P27" s="541">
        <v>0</v>
      </c>
      <c r="Q27" s="542">
        <v>0</v>
      </c>
    </row>
    <row r="28" spans="1:19" ht="15.75" thickBot="1">
      <c r="C28" s="660"/>
      <c r="D28" s="657"/>
      <c r="E28" s="232" t="s">
        <v>1371</v>
      </c>
      <c r="F28" s="543">
        <v>26761.061946902657</v>
      </c>
      <c r="G28" s="543">
        <v>26761.061946902657</v>
      </c>
      <c r="H28" s="543">
        <v>26761.061946902657</v>
      </c>
      <c r="I28" s="543">
        <v>26761.061946902657</v>
      </c>
      <c r="J28" s="543">
        <v>26761.061946902657</v>
      </c>
      <c r="K28" s="543">
        <v>26761.061946902657</v>
      </c>
      <c r="L28" s="543">
        <v>26761.061946902657</v>
      </c>
      <c r="M28" s="543">
        <v>26761.061946902657</v>
      </c>
      <c r="N28" s="543">
        <v>26761.061946902657</v>
      </c>
      <c r="O28" s="543">
        <v>26761.061946902657</v>
      </c>
      <c r="P28" s="543">
        <v>26761.061946902657</v>
      </c>
      <c r="Q28" s="544">
        <v>26761.061946902657</v>
      </c>
    </row>
    <row r="29" spans="1:19" ht="15" customHeight="1">
      <c r="B29" t="s">
        <v>76</v>
      </c>
      <c r="C29" s="652">
        <v>130500</v>
      </c>
      <c r="D29" s="649" t="s">
        <v>1372</v>
      </c>
      <c r="E29" s="235" t="s">
        <v>13</v>
      </c>
      <c r="F29" s="545">
        <v>16742.389380530978</v>
      </c>
      <c r="G29" s="545">
        <v>16742.389380530978</v>
      </c>
      <c r="H29" s="545">
        <v>16742.389380530978</v>
      </c>
      <c r="I29" s="545">
        <v>16742.389380530978</v>
      </c>
      <c r="J29" s="545">
        <v>16742.389380530978</v>
      </c>
      <c r="K29" s="545">
        <v>16742.389380530978</v>
      </c>
      <c r="L29" s="545">
        <v>16742.389380530978</v>
      </c>
      <c r="M29" s="545">
        <v>16742.389380530978</v>
      </c>
      <c r="N29" s="545">
        <v>16742.389380530978</v>
      </c>
      <c r="O29" s="545">
        <v>16742.389380530978</v>
      </c>
      <c r="P29" s="545">
        <v>16742.389380530978</v>
      </c>
      <c r="Q29" s="546">
        <v>16742.389380530978</v>
      </c>
    </row>
    <row r="30" spans="1:19">
      <c r="C30" s="653"/>
      <c r="D30" s="650"/>
      <c r="E30" s="238" t="s">
        <v>117</v>
      </c>
      <c r="F30" s="547">
        <v>0</v>
      </c>
      <c r="G30" s="547">
        <v>0</v>
      </c>
      <c r="H30" s="547">
        <v>0</v>
      </c>
      <c r="I30" s="547">
        <v>0</v>
      </c>
      <c r="J30" s="547">
        <v>0</v>
      </c>
      <c r="K30" s="547">
        <v>0</v>
      </c>
      <c r="L30" s="547">
        <v>0</v>
      </c>
      <c r="M30" s="547">
        <v>0</v>
      </c>
      <c r="N30" s="547">
        <v>0</v>
      </c>
      <c r="O30" s="547">
        <v>0</v>
      </c>
      <c r="P30" s="547">
        <v>0</v>
      </c>
      <c r="Q30" s="548">
        <v>0</v>
      </c>
    </row>
    <row r="31" spans="1:19" ht="15.75" thickBot="1">
      <c r="C31" s="654"/>
      <c r="D31" s="651"/>
      <c r="E31" s="241" t="s">
        <v>534</v>
      </c>
      <c r="F31" s="549">
        <v>16742.389380530978</v>
      </c>
      <c r="G31" s="549">
        <v>16742.389380530978</v>
      </c>
      <c r="H31" s="549">
        <v>16742.389380530978</v>
      </c>
      <c r="I31" s="549">
        <v>16742.389380530978</v>
      </c>
      <c r="J31" s="549">
        <v>16742.389380530978</v>
      </c>
      <c r="K31" s="549">
        <v>16742.389380530978</v>
      </c>
      <c r="L31" s="549">
        <v>16742.389380530978</v>
      </c>
      <c r="M31" s="549">
        <v>16742.389380530978</v>
      </c>
      <c r="N31" s="549">
        <v>16742.389380530978</v>
      </c>
      <c r="O31" s="549">
        <v>16742.389380530978</v>
      </c>
      <c r="P31" s="549">
        <v>16742.389380530978</v>
      </c>
      <c r="Q31" s="550">
        <v>16742.389380530978</v>
      </c>
    </row>
    <row r="32" spans="1:19" ht="15" customHeight="1">
      <c r="B32" t="s">
        <v>230</v>
      </c>
      <c r="C32" s="658">
        <v>461010</v>
      </c>
      <c r="D32" s="655" t="s">
        <v>267</v>
      </c>
      <c r="E32" s="227" t="s">
        <v>13</v>
      </c>
      <c r="F32" s="539">
        <v>214606.99115044248</v>
      </c>
      <c r="G32" s="539">
        <v>214606.99115044248</v>
      </c>
      <c r="H32" s="539">
        <v>267512.65486725664</v>
      </c>
      <c r="I32" s="539">
        <v>267512.65486725664</v>
      </c>
      <c r="J32" s="539">
        <v>0</v>
      </c>
      <c r="K32" s="539">
        <v>0</v>
      </c>
      <c r="L32" s="539">
        <v>0</v>
      </c>
      <c r="M32" s="539">
        <v>0</v>
      </c>
      <c r="N32" s="539">
        <v>0</v>
      </c>
      <c r="O32" s="539">
        <v>0</v>
      </c>
      <c r="P32" s="539">
        <v>0</v>
      </c>
      <c r="Q32" s="540">
        <v>0</v>
      </c>
    </row>
    <row r="33" spans="2:17">
      <c r="B33" t="s">
        <v>138</v>
      </c>
      <c r="C33" s="659"/>
      <c r="D33" s="656"/>
      <c r="E33" s="230" t="s">
        <v>117</v>
      </c>
      <c r="F33" s="541">
        <v>0</v>
      </c>
      <c r="G33" s="541">
        <v>0</v>
      </c>
      <c r="H33" s="541">
        <v>38994.69026548673</v>
      </c>
      <c r="I33" s="541">
        <v>0</v>
      </c>
      <c r="J33" s="541">
        <v>0</v>
      </c>
      <c r="K33" s="541">
        <v>0</v>
      </c>
      <c r="L33" s="541">
        <v>0</v>
      </c>
      <c r="M33" s="541">
        <v>0</v>
      </c>
      <c r="N33" s="541">
        <v>0</v>
      </c>
      <c r="O33" s="541">
        <v>0</v>
      </c>
      <c r="P33" s="541">
        <v>0</v>
      </c>
      <c r="Q33" s="542">
        <v>0</v>
      </c>
    </row>
    <row r="34" spans="2:17" ht="15.75" thickBot="1">
      <c r="C34" s="660"/>
      <c r="D34" s="657"/>
      <c r="E34" s="232" t="s">
        <v>534</v>
      </c>
      <c r="F34" s="543">
        <v>214606.99115044248</v>
      </c>
      <c r="G34" s="543">
        <v>214606.99115044248</v>
      </c>
      <c r="H34" s="543">
        <v>306507.34513274336</v>
      </c>
      <c r="I34" s="543">
        <v>267512.65486725664</v>
      </c>
      <c r="J34" s="543">
        <v>0</v>
      </c>
      <c r="K34" s="543">
        <v>0</v>
      </c>
      <c r="L34" s="543">
        <v>0</v>
      </c>
      <c r="M34" s="543">
        <v>0</v>
      </c>
      <c r="N34" s="543">
        <v>0</v>
      </c>
      <c r="O34" s="543">
        <v>0</v>
      </c>
      <c r="P34" s="543">
        <v>0</v>
      </c>
      <c r="Q34" s="544">
        <v>0</v>
      </c>
    </row>
    <row r="35" spans="2:17" ht="15" customHeight="1">
      <c r="B35" t="s">
        <v>230</v>
      </c>
      <c r="C35" s="652">
        <v>461020</v>
      </c>
      <c r="D35" s="649" t="s">
        <v>1373</v>
      </c>
      <c r="E35" s="235" t="s">
        <v>13</v>
      </c>
      <c r="F35" s="545">
        <v>0</v>
      </c>
      <c r="G35" s="545">
        <v>0</v>
      </c>
      <c r="H35" s="545">
        <v>0</v>
      </c>
      <c r="I35" s="545">
        <v>0</v>
      </c>
      <c r="J35" s="545">
        <v>145764.15929203542</v>
      </c>
      <c r="K35" s="545">
        <v>145764.15929203542</v>
      </c>
      <c r="L35" s="545">
        <v>183215.30973451328</v>
      </c>
      <c r="M35" s="545">
        <v>183215.30973451328</v>
      </c>
      <c r="N35" s="545">
        <v>0</v>
      </c>
      <c r="O35" s="545">
        <v>0</v>
      </c>
      <c r="P35" s="545">
        <v>0</v>
      </c>
      <c r="Q35" s="546">
        <v>0</v>
      </c>
    </row>
    <row r="36" spans="2:17">
      <c r="B36" t="s">
        <v>138</v>
      </c>
      <c r="C36" s="653"/>
      <c r="D36" s="650"/>
      <c r="E36" s="238" t="s">
        <v>117</v>
      </c>
      <c r="F36" s="547">
        <v>0</v>
      </c>
      <c r="G36" s="547">
        <v>0</v>
      </c>
      <c r="H36" s="547">
        <v>0</v>
      </c>
      <c r="I36" s="547">
        <v>0</v>
      </c>
      <c r="J36" s="547">
        <v>76460.176991150453</v>
      </c>
      <c r="K36" s="547">
        <v>0</v>
      </c>
      <c r="L36" s="547">
        <v>144127.4336283186</v>
      </c>
      <c r="M36" s="547">
        <v>0</v>
      </c>
      <c r="N36" s="547">
        <v>0</v>
      </c>
      <c r="O36" s="547">
        <v>0</v>
      </c>
      <c r="P36" s="547">
        <v>0</v>
      </c>
      <c r="Q36" s="548">
        <v>0</v>
      </c>
    </row>
    <row r="37" spans="2:17" ht="15.75" thickBot="1">
      <c r="C37" s="654"/>
      <c r="D37" s="651"/>
      <c r="E37" s="241" t="s">
        <v>534</v>
      </c>
      <c r="F37" s="549">
        <v>0</v>
      </c>
      <c r="G37" s="549">
        <v>0</v>
      </c>
      <c r="H37" s="549">
        <v>0</v>
      </c>
      <c r="I37" s="549">
        <v>0</v>
      </c>
      <c r="J37" s="549">
        <v>222224.33628318587</v>
      </c>
      <c r="K37" s="549">
        <v>145764.15929203542</v>
      </c>
      <c r="L37" s="549">
        <v>327342.74336283188</v>
      </c>
      <c r="M37" s="549">
        <v>183215.30973451328</v>
      </c>
      <c r="N37" s="549">
        <v>0</v>
      </c>
      <c r="O37" s="549">
        <v>0</v>
      </c>
      <c r="P37" s="549">
        <v>0</v>
      </c>
      <c r="Q37" s="550">
        <v>0</v>
      </c>
    </row>
    <row r="38" spans="2:17" ht="15" customHeight="1">
      <c r="B38" t="s">
        <v>230</v>
      </c>
      <c r="C38" s="658">
        <v>461030</v>
      </c>
      <c r="D38" s="655" t="s">
        <v>1374</v>
      </c>
      <c r="E38" s="227" t="s">
        <v>13</v>
      </c>
      <c r="F38" s="539">
        <v>0</v>
      </c>
      <c r="G38" s="539">
        <v>0</v>
      </c>
      <c r="H38" s="539">
        <v>0</v>
      </c>
      <c r="I38" s="539">
        <v>0</v>
      </c>
      <c r="J38" s="539">
        <v>0</v>
      </c>
      <c r="K38" s="539">
        <v>0</v>
      </c>
      <c r="L38" s="539">
        <v>0</v>
      </c>
      <c r="M38" s="539">
        <v>0</v>
      </c>
      <c r="N38" s="539">
        <v>56900.707964601781</v>
      </c>
      <c r="O38" s="539">
        <v>56900.707964601781</v>
      </c>
      <c r="P38" s="539">
        <v>79599.823008849562</v>
      </c>
      <c r="Q38" s="540">
        <v>79599.823008849562</v>
      </c>
    </row>
    <row r="39" spans="2:17">
      <c r="B39" t="s">
        <v>138</v>
      </c>
      <c r="C39" s="659"/>
      <c r="D39" s="656"/>
      <c r="E39" s="230" t="s">
        <v>117</v>
      </c>
      <c r="F39" s="541">
        <v>0</v>
      </c>
      <c r="G39" s="541">
        <v>0</v>
      </c>
      <c r="H39" s="541">
        <v>0</v>
      </c>
      <c r="I39" s="541">
        <v>0</v>
      </c>
      <c r="J39" s="541">
        <v>0</v>
      </c>
      <c r="K39" s="541">
        <v>0</v>
      </c>
      <c r="L39" s="541">
        <v>0</v>
      </c>
      <c r="M39" s="541">
        <v>0</v>
      </c>
      <c r="N39" s="541">
        <v>0</v>
      </c>
      <c r="O39" s="541">
        <v>0</v>
      </c>
      <c r="P39" s="541">
        <v>77989.38053097346</v>
      </c>
      <c r="Q39" s="542">
        <v>0</v>
      </c>
    </row>
    <row r="40" spans="2:17" ht="15.75" thickBot="1">
      <c r="C40" s="660"/>
      <c r="D40" s="657"/>
      <c r="E40" s="232" t="s">
        <v>534</v>
      </c>
      <c r="F40" s="543">
        <v>0</v>
      </c>
      <c r="G40" s="543">
        <v>0</v>
      </c>
      <c r="H40" s="543">
        <v>0</v>
      </c>
      <c r="I40" s="543">
        <v>0</v>
      </c>
      <c r="J40" s="543">
        <v>0</v>
      </c>
      <c r="K40" s="543">
        <v>0</v>
      </c>
      <c r="L40" s="543">
        <v>0</v>
      </c>
      <c r="M40" s="543">
        <v>0</v>
      </c>
      <c r="N40" s="543">
        <v>56900.707964601781</v>
      </c>
      <c r="O40" s="543">
        <v>56900.707964601781</v>
      </c>
      <c r="P40" s="543">
        <v>157589.20353982301</v>
      </c>
      <c r="Q40" s="544">
        <v>79599.823008849562</v>
      </c>
    </row>
    <row r="42" spans="2:17">
      <c r="F42" s="114">
        <f>SUM(F40,F37,F34,F31,F28)</f>
        <v>258110.44247787612</v>
      </c>
      <c r="G42" s="114">
        <f t="shared" ref="G42:Q42" si="17">SUM(G40,G37,G34,G31,G28)</f>
        <v>258110.44247787612</v>
      </c>
      <c r="H42" s="114">
        <f t="shared" si="17"/>
        <v>350010.79646017699</v>
      </c>
      <c r="I42" s="114">
        <f t="shared" si="17"/>
        <v>311016.10619469028</v>
      </c>
      <c r="J42" s="114">
        <f t="shared" si="17"/>
        <v>265727.7876106195</v>
      </c>
      <c r="K42" s="114">
        <f t="shared" si="17"/>
        <v>189267.61061946905</v>
      </c>
      <c r="L42" s="114">
        <f t="shared" si="17"/>
        <v>370846.19469026552</v>
      </c>
      <c r="M42" s="114">
        <f t="shared" si="17"/>
        <v>226718.76106194692</v>
      </c>
      <c r="N42" s="114">
        <f t="shared" si="17"/>
        <v>100404.15929203542</v>
      </c>
      <c r="O42" s="114">
        <f t="shared" si="17"/>
        <v>100404.15929203542</v>
      </c>
      <c r="P42" s="114">
        <f t="shared" si="17"/>
        <v>201092.65486725664</v>
      </c>
      <c r="Q42" s="114">
        <f t="shared" si="17"/>
        <v>123103.2743362832</v>
      </c>
    </row>
  </sheetData>
  <mergeCells count="15">
    <mergeCell ref="D13:D15"/>
    <mergeCell ref="D16:D18"/>
    <mergeCell ref="D4:D6"/>
    <mergeCell ref="D7:D9"/>
    <mergeCell ref="D10:D12"/>
    <mergeCell ref="D35:D37"/>
    <mergeCell ref="C35:C37"/>
    <mergeCell ref="D38:D40"/>
    <mergeCell ref="C38:C40"/>
    <mergeCell ref="D26:D28"/>
    <mergeCell ref="C26:C28"/>
    <mergeCell ref="D29:D31"/>
    <mergeCell ref="C29:C31"/>
    <mergeCell ref="D32:D34"/>
    <mergeCell ref="C32:C34"/>
  </mergeCells>
  <phoneticPr fontId="28" type="noConversion"/>
  <pageMargins left="0.7" right="0.7" top="0.75" bottom="0.75" header="0.3" footer="0.3"/>
  <pageSetup paperSize="9" scale="88" orientation="landscape"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2"/>
  <sheetViews>
    <sheetView topLeftCell="A3" zoomScale="220" zoomScaleNormal="220" workbookViewId="0">
      <selection activeCell="G5" sqref="G5"/>
    </sheetView>
  </sheetViews>
  <sheetFormatPr defaultColWidth="9.140625" defaultRowHeight="15"/>
  <cols>
    <col min="1" max="1" width="20.28515625" customWidth="1"/>
    <col min="2" max="3" width="10.140625" customWidth="1"/>
    <col min="6" max="6" width="21.140625" customWidth="1"/>
    <col min="7" max="9" width="10.140625" customWidth="1"/>
  </cols>
  <sheetData>
    <row r="1" spans="1:8" ht="32.450000000000003" customHeight="1">
      <c r="A1" s="621" t="s">
        <v>467</v>
      </c>
      <c r="F1" s="621" t="s">
        <v>468</v>
      </c>
    </row>
    <row r="2" spans="1:8">
      <c r="A2" t="s">
        <v>469</v>
      </c>
      <c r="B2" t="s">
        <v>470</v>
      </c>
      <c r="C2" t="s">
        <v>471</v>
      </c>
      <c r="F2" t="s">
        <v>469</v>
      </c>
      <c r="G2" t="s">
        <v>472</v>
      </c>
      <c r="H2" t="s">
        <v>471</v>
      </c>
    </row>
    <row r="3" spans="1:8">
      <c r="A3" t="s">
        <v>473</v>
      </c>
      <c r="B3">
        <v>5</v>
      </c>
      <c r="C3" t="s">
        <v>474</v>
      </c>
      <c r="F3" t="s">
        <v>475</v>
      </c>
      <c r="G3" s="622">
        <v>2.29</v>
      </c>
      <c r="H3" t="s">
        <v>476</v>
      </c>
    </row>
    <row r="4" spans="1:8">
      <c r="A4" t="s">
        <v>477</v>
      </c>
      <c r="B4">
        <v>90</v>
      </c>
      <c r="C4" t="s">
        <v>474</v>
      </c>
      <c r="F4" t="s">
        <v>478</v>
      </c>
      <c r="G4" s="622">
        <v>2.11</v>
      </c>
      <c r="H4" t="s">
        <v>476</v>
      </c>
    </row>
    <row r="5" spans="1:8">
      <c r="A5" t="s">
        <v>1376</v>
      </c>
      <c r="B5">
        <f>SQRT((B22*SIN(B3*PI()/180))^2 + B17^2 - B22^2) - B22*SIN(B3*PI()/180)</f>
        <v>1803.7822515002044</v>
      </c>
      <c r="C5" t="s">
        <v>479</v>
      </c>
      <c r="F5" t="s">
        <v>1399</v>
      </c>
      <c r="G5" s="622">
        <v>8.4</v>
      </c>
      <c r="H5" t="s">
        <v>476</v>
      </c>
    </row>
    <row r="6" spans="1:8">
      <c r="A6" t="s">
        <v>1377</v>
      </c>
      <c r="B6">
        <f>B17-B22</f>
        <v>400</v>
      </c>
      <c r="C6" t="s">
        <v>479</v>
      </c>
      <c r="G6" s="622"/>
    </row>
    <row r="9" spans="1:8" ht="35.1" customHeight="1"/>
    <row r="10" spans="1:8">
      <c r="A10" t="s">
        <v>480</v>
      </c>
    </row>
    <row r="11" spans="1:8">
      <c r="A11" t="s">
        <v>481</v>
      </c>
    </row>
    <row r="12" spans="1:8">
      <c r="A12" t="s">
        <v>482</v>
      </c>
    </row>
    <row r="13" spans="1:8">
      <c r="A13" t="s">
        <v>483</v>
      </c>
    </row>
    <row r="15" spans="1:8" ht="26.25">
      <c r="A15" s="621" t="s">
        <v>484</v>
      </c>
    </row>
    <row r="16" spans="1:8">
      <c r="A16" t="s">
        <v>469</v>
      </c>
      <c r="B16" t="s">
        <v>463</v>
      </c>
      <c r="C16" t="s">
        <v>471</v>
      </c>
    </row>
    <row r="17" spans="1:3">
      <c r="A17" t="s">
        <v>485</v>
      </c>
      <c r="B17">
        <f>B22+400</f>
        <v>6771</v>
      </c>
      <c r="C17" t="s">
        <v>479</v>
      </c>
    </row>
    <row r="18" spans="1:3">
      <c r="A18" t="s">
        <v>486</v>
      </c>
      <c r="B18">
        <v>98.8</v>
      </c>
      <c r="C18" t="s">
        <v>474</v>
      </c>
    </row>
    <row r="19" spans="1:3">
      <c r="A19" t="s">
        <v>487</v>
      </c>
      <c r="B19">
        <v>34.200000000000003</v>
      </c>
      <c r="C19" t="s">
        <v>474</v>
      </c>
    </row>
    <row r="20" spans="1:3">
      <c r="A20" t="s">
        <v>488</v>
      </c>
      <c r="B20">
        <v>9.4680000000000007E-3</v>
      </c>
    </row>
    <row r="21" spans="1:3">
      <c r="A21" t="s">
        <v>489</v>
      </c>
      <c r="B21">
        <v>52</v>
      </c>
      <c r="C21" t="s">
        <v>474</v>
      </c>
    </row>
    <row r="22" spans="1:3">
      <c r="A22" t="s">
        <v>490</v>
      </c>
      <c r="B22">
        <v>6371</v>
      </c>
      <c r="C22" t="s">
        <v>479</v>
      </c>
    </row>
  </sheetData>
  <pageMargins left="0.7" right="0.7" top="0.75" bottom="0.75" header="0.3" footer="0.3"/>
  <drawing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27"/>
  <sheetViews>
    <sheetView topLeftCell="A115" zoomScale="160" zoomScaleNormal="160" workbookViewId="0">
      <selection activeCell="B127" sqref="B127"/>
    </sheetView>
  </sheetViews>
  <sheetFormatPr defaultColWidth="11.42578125" defaultRowHeight="15"/>
  <cols>
    <col min="1" max="1" width="26.28515625" customWidth="1"/>
    <col min="4" max="4" width="68" customWidth="1"/>
    <col min="5" max="5" width="17.7109375" customWidth="1"/>
    <col min="6" max="6" width="46.28515625" customWidth="1"/>
    <col min="7" max="7" width="15.42578125" customWidth="1"/>
    <col min="9" max="9" width="59.42578125" customWidth="1"/>
  </cols>
  <sheetData>
    <row r="1" spans="1:4" s="623" customFormat="1" ht="18.75">
      <c r="A1" s="623" t="s">
        <v>491</v>
      </c>
    </row>
    <row r="3" spans="1:4">
      <c r="A3" t="s">
        <v>469</v>
      </c>
      <c r="B3" t="s">
        <v>463</v>
      </c>
      <c r="C3" t="s">
        <v>471</v>
      </c>
      <c r="D3" t="s">
        <v>493</v>
      </c>
    </row>
    <row r="4" spans="1:4">
      <c r="A4" s="16" t="s">
        <v>495</v>
      </c>
      <c r="B4" s="222"/>
    </row>
    <row r="5" spans="1:4">
      <c r="A5" t="s">
        <v>497</v>
      </c>
      <c r="B5" s="222">
        <v>3</v>
      </c>
      <c r="C5" t="s">
        <v>498</v>
      </c>
    </row>
    <row r="6" spans="1:4">
      <c r="A6" t="s">
        <v>499</v>
      </c>
      <c r="B6" s="222">
        <v>0.5</v>
      </c>
      <c r="C6" t="s">
        <v>500</v>
      </c>
    </row>
    <row r="7" spans="1:4">
      <c r="A7" t="s">
        <v>503</v>
      </c>
      <c r="B7" s="222">
        <v>32</v>
      </c>
      <c r="C7" t="s">
        <v>504</v>
      </c>
      <c r="D7" t="s">
        <v>1400</v>
      </c>
    </row>
    <row r="8" spans="1:4">
      <c r="A8" t="s">
        <v>1390</v>
      </c>
      <c r="B8" s="222">
        <v>0.5</v>
      </c>
      <c r="C8" t="s">
        <v>506</v>
      </c>
    </row>
    <row r="9" spans="1:4" ht="18" customHeight="1">
      <c r="A9" t="s">
        <v>507</v>
      </c>
      <c r="B9" s="222">
        <f>B7+B5-B8-B6</f>
        <v>34</v>
      </c>
      <c r="C9" t="s">
        <v>498</v>
      </c>
      <c r="D9" s="102"/>
    </row>
    <row r="10" spans="1:4">
      <c r="B10" s="222"/>
    </row>
    <row r="11" spans="1:4">
      <c r="A11" s="16" t="s">
        <v>508</v>
      </c>
      <c r="B11" s="222"/>
    </row>
    <row r="12" spans="1:4">
      <c r="A12" t="s">
        <v>509</v>
      </c>
      <c r="B12" s="222">
        <f xml:space="preserve"> 92.45+ 20*LOG10('LEO Link Assumptions'!B5) + 20*LOG10('LEO Link Assumptions'!G4)</f>
        <v>164.05933129247111</v>
      </c>
      <c r="C12" t="s">
        <v>506</v>
      </c>
    </row>
    <row r="13" spans="1:4">
      <c r="A13" t="s">
        <v>1378</v>
      </c>
      <c r="B13" s="222">
        <v>0</v>
      </c>
      <c r="C13" t="s">
        <v>506</v>
      </c>
    </row>
    <row r="14" spans="1:4">
      <c r="A14" t="s">
        <v>511</v>
      </c>
      <c r="B14" s="222">
        <v>1</v>
      </c>
      <c r="C14" t="s">
        <v>506</v>
      </c>
      <c r="D14" t="s">
        <v>1379</v>
      </c>
    </row>
    <row r="15" spans="1:4">
      <c r="A15" t="s">
        <v>1380</v>
      </c>
      <c r="B15" s="222">
        <f>B9-B12-B13-B14</f>
        <v>-131.05933129247111</v>
      </c>
      <c r="C15" t="s">
        <v>506</v>
      </c>
    </row>
    <row r="16" spans="1:4">
      <c r="B16" s="222"/>
    </row>
    <row r="17" spans="1:4">
      <c r="A17" s="16" t="s">
        <v>512</v>
      </c>
      <c r="B17" s="222"/>
    </row>
    <row r="18" spans="1:4">
      <c r="A18" t="s">
        <v>513</v>
      </c>
      <c r="B18" s="222">
        <v>-4</v>
      </c>
      <c r="C18" t="s">
        <v>504</v>
      </c>
      <c r="D18" s="102"/>
    </row>
    <row r="19" spans="1:4">
      <c r="B19" s="222"/>
      <c r="D19" s="102"/>
    </row>
    <row r="20" spans="1:4">
      <c r="A20" t="s">
        <v>514</v>
      </c>
      <c r="B20" s="222">
        <v>-228.6</v>
      </c>
      <c r="C20" t="s">
        <v>515</v>
      </c>
    </row>
    <row r="21" spans="1:4">
      <c r="A21" t="s">
        <v>517</v>
      </c>
      <c r="B21" s="222">
        <v>150</v>
      </c>
      <c r="C21" t="s">
        <v>518</v>
      </c>
      <c r="D21" t="s">
        <v>1381</v>
      </c>
    </row>
    <row r="22" spans="1:4">
      <c r="A22" t="s">
        <v>505</v>
      </c>
      <c r="B22" s="222">
        <v>3.5</v>
      </c>
      <c r="C22" t="s">
        <v>506</v>
      </c>
      <c r="D22" t="s">
        <v>1428</v>
      </c>
    </row>
    <row r="23" spans="1:4">
      <c r="A23" t="s">
        <v>1388</v>
      </c>
      <c r="B23" s="222">
        <f>290*(1/10^(-B22/10)-1)</f>
        <v>359.22913018481842</v>
      </c>
      <c r="C23" t="s">
        <v>518</v>
      </c>
    </row>
    <row r="24" spans="1:4">
      <c r="A24" t="s">
        <v>1383</v>
      </c>
      <c r="B24" s="222">
        <v>3</v>
      </c>
      <c r="C24" t="s">
        <v>506</v>
      </c>
      <c r="D24" t="s">
        <v>1429</v>
      </c>
    </row>
    <row r="25" spans="1:4">
      <c r="A25" t="s">
        <v>1382</v>
      </c>
      <c r="B25" s="222">
        <f>290*(1/10^(-B24/10)-1)</f>
        <v>288.6260713409751</v>
      </c>
      <c r="C25" t="s">
        <v>518</v>
      </c>
    </row>
    <row r="26" spans="1:4">
      <c r="A26" t="s">
        <v>1384</v>
      </c>
      <c r="B26" s="222">
        <v>20</v>
      </c>
      <c r="C26" t="s">
        <v>506</v>
      </c>
    </row>
    <row r="27" spans="1:4">
      <c r="A27" t="s">
        <v>1385</v>
      </c>
      <c r="B27" s="222">
        <v>1.5</v>
      </c>
      <c r="C27" t="s">
        <v>506</v>
      </c>
    </row>
    <row r="28" spans="1:4">
      <c r="A28" t="s">
        <v>1386</v>
      </c>
      <c r="B28" s="222">
        <f>290*(10^(B27/10)-1)</f>
        <v>119.63588794059876</v>
      </c>
      <c r="C28" t="s">
        <v>518</v>
      </c>
    </row>
    <row r="29" spans="1:4">
      <c r="A29" t="s">
        <v>1387</v>
      </c>
      <c r="B29" s="222">
        <v>9</v>
      </c>
      <c r="C29" t="s">
        <v>506</v>
      </c>
    </row>
    <row r="30" spans="1:4">
      <c r="A30" t="s">
        <v>519</v>
      </c>
      <c r="B30" s="222">
        <f>290*(10^(B29/10)-1)</f>
        <v>2013.5518807004171</v>
      </c>
      <c r="C30" t="s">
        <v>518</v>
      </c>
    </row>
    <row r="31" spans="1:4">
      <c r="A31" t="s">
        <v>520</v>
      </c>
      <c r="B31" s="222">
        <f>B21+B23+B25+B28+B30/(10^(B26/10))</f>
        <v>937.62660827339641</v>
      </c>
      <c r="C31" s="222" t="s">
        <v>518</v>
      </c>
    </row>
    <row r="32" spans="1:4">
      <c r="B32" s="222">
        <f>10*LOG10(B31)</f>
        <v>29.720299233992073</v>
      </c>
      <c r="C32" s="222" t="s">
        <v>522</v>
      </c>
    </row>
    <row r="33" spans="1:4">
      <c r="A33" t="s">
        <v>523</v>
      </c>
      <c r="B33" s="608">
        <v>32</v>
      </c>
      <c r="C33" t="s">
        <v>1404</v>
      </c>
    </row>
    <row r="34" spans="1:4">
      <c r="B34" s="222">
        <f>10*LOG10(B33*1000)</f>
        <v>45.051499783199063</v>
      </c>
      <c r="C34" t="s">
        <v>521</v>
      </c>
    </row>
    <row r="35" spans="1:4">
      <c r="A35" t="s">
        <v>524</v>
      </c>
      <c r="B35" s="222">
        <f>B15+B18-B22-B19-B20-B32-B34</f>
        <v>15.268869690337745</v>
      </c>
      <c r="C35" t="s">
        <v>506</v>
      </c>
    </row>
    <row r="36" spans="1:4">
      <c r="B36" s="222"/>
    </row>
    <row r="37" spans="1:4">
      <c r="A37" t="s">
        <v>525</v>
      </c>
      <c r="B37" s="222">
        <v>9.6</v>
      </c>
      <c r="C37" t="s">
        <v>506</v>
      </c>
      <c r="D37" t="s">
        <v>1394</v>
      </c>
    </row>
    <row r="38" spans="1:4">
      <c r="A38" t="s">
        <v>526</v>
      </c>
      <c r="B38" s="222">
        <f>B35-B37</f>
        <v>5.6688696903377451</v>
      </c>
    </row>
    <row r="43" spans="1:4" ht="18.75">
      <c r="A43" s="623" t="s">
        <v>492</v>
      </c>
    </row>
    <row r="44" spans="1:4">
      <c r="A44" t="s">
        <v>469</v>
      </c>
      <c r="B44" t="s">
        <v>494</v>
      </c>
      <c r="C44" t="s">
        <v>471</v>
      </c>
      <c r="D44" t="s">
        <v>493</v>
      </c>
    </row>
    <row r="45" spans="1:4">
      <c r="A45" s="16" t="s">
        <v>496</v>
      </c>
      <c r="B45" s="222"/>
    </row>
    <row r="46" spans="1:4">
      <c r="A46" t="s">
        <v>497</v>
      </c>
      <c r="B46" s="222">
        <v>3</v>
      </c>
      <c r="C46" t="s">
        <v>498</v>
      </c>
      <c r="D46" s="102"/>
    </row>
    <row r="47" spans="1:4">
      <c r="A47" s="102" t="s">
        <v>501</v>
      </c>
      <c r="B47" s="222">
        <v>2</v>
      </c>
      <c r="C47" t="s">
        <v>500</v>
      </c>
      <c r="D47" t="s">
        <v>502</v>
      </c>
    </row>
    <row r="48" spans="1:4">
      <c r="A48" t="s">
        <v>505</v>
      </c>
      <c r="B48" s="222">
        <v>3</v>
      </c>
      <c r="C48" t="s">
        <v>506</v>
      </c>
    </row>
    <row r="49" spans="1:4">
      <c r="A49" t="s">
        <v>503</v>
      </c>
      <c r="B49" s="222">
        <v>-4</v>
      </c>
      <c r="C49" t="s">
        <v>504</v>
      </c>
      <c r="D49" s="102"/>
    </row>
    <row r="50" spans="1:4">
      <c r="A50" t="s">
        <v>507</v>
      </c>
      <c r="B50" s="222">
        <f>B46-B47-B48+B49</f>
        <v>-6</v>
      </c>
      <c r="C50" t="s">
        <v>498</v>
      </c>
    </row>
    <row r="51" spans="1:4">
      <c r="B51" s="222"/>
    </row>
    <row r="52" spans="1:4">
      <c r="A52" s="16" t="s">
        <v>510</v>
      </c>
      <c r="B52" s="222"/>
    </row>
    <row r="53" spans="1:4">
      <c r="A53" t="s">
        <v>509</v>
      </c>
      <c r="B53" s="222">
        <f xml:space="preserve"> 92.45+ 20*LOG10('LEO Link Assumptions'!B5) + 20*LOG10('LEO Link Assumptions'!G3)</f>
        <v>164.77039183331502</v>
      </c>
      <c r="C53" t="s">
        <v>506</v>
      </c>
    </row>
    <row r="54" spans="1:4">
      <c r="A54" t="s">
        <v>1378</v>
      </c>
      <c r="B54" s="222">
        <v>0</v>
      </c>
      <c r="C54" t="s">
        <v>506</v>
      </c>
    </row>
    <row r="55" spans="1:4">
      <c r="A55" t="s">
        <v>511</v>
      </c>
      <c r="B55" s="222">
        <v>1</v>
      </c>
      <c r="C55" t="s">
        <v>506</v>
      </c>
    </row>
    <row r="56" spans="1:4">
      <c r="A56" t="s">
        <v>1389</v>
      </c>
      <c r="B56" s="222">
        <f>B50-B53-B54-B55</f>
        <v>-171.77039183331502</v>
      </c>
      <c r="C56" t="s">
        <v>506</v>
      </c>
    </row>
    <row r="57" spans="1:4">
      <c r="B57" s="222"/>
    </row>
    <row r="58" spans="1:4">
      <c r="A58" s="16" t="s">
        <v>495</v>
      </c>
      <c r="B58" s="222"/>
    </row>
    <row r="59" spans="1:4">
      <c r="A59" t="s">
        <v>516</v>
      </c>
      <c r="B59" s="222">
        <v>0.5</v>
      </c>
      <c r="C59" t="s">
        <v>506</v>
      </c>
    </row>
    <row r="60" spans="1:4">
      <c r="A60" t="s">
        <v>1391</v>
      </c>
      <c r="B60" s="222">
        <v>32</v>
      </c>
      <c r="C60" t="s">
        <v>504</v>
      </c>
      <c r="D60" t="s">
        <v>1401</v>
      </c>
    </row>
    <row r="61" spans="1:4">
      <c r="A61" t="s">
        <v>514</v>
      </c>
      <c r="B61" s="222">
        <v>-228.6</v>
      </c>
      <c r="C61" t="s">
        <v>515</v>
      </c>
    </row>
    <row r="62" spans="1:4">
      <c r="A62" t="s">
        <v>517</v>
      </c>
      <c r="B62" s="222">
        <v>50</v>
      </c>
      <c r="C62" t="s">
        <v>518</v>
      </c>
      <c r="D62" t="s">
        <v>1392</v>
      </c>
    </row>
    <row r="63" spans="1:4">
      <c r="B63" s="222"/>
    </row>
    <row r="64" spans="1:4">
      <c r="A64" t="s">
        <v>1393</v>
      </c>
      <c r="B64" s="222">
        <v>0.5</v>
      </c>
      <c r="C64" t="s">
        <v>506</v>
      </c>
    </row>
    <row r="65" spans="1:4">
      <c r="A65" t="s">
        <v>1382</v>
      </c>
      <c r="B65" s="222">
        <f>290*(1/10^(-B64/10)-1)</f>
        <v>35.38535174756943</v>
      </c>
      <c r="C65" t="s">
        <v>518</v>
      </c>
    </row>
    <row r="66" spans="1:4">
      <c r="A66" t="s">
        <v>1384</v>
      </c>
      <c r="B66" s="222">
        <v>30</v>
      </c>
      <c r="C66" t="s">
        <v>506</v>
      </c>
    </row>
    <row r="67" spans="1:4">
      <c r="A67" t="s">
        <v>1385</v>
      </c>
      <c r="B67" s="222">
        <v>0.8</v>
      </c>
      <c r="C67" t="s">
        <v>506</v>
      </c>
    </row>
    <row r="68" spans="1:4">
      <c r="A68" t="s">
        <v>1386</v>
      </c>
      <c r="B68" s="222">
        <f>290*(10^(B67/10)-1)</f>
        <v>58.656686039049752</v>
      </c>
      <c r="C68" t="s">
        <v>518</v>
      </c>
    </row>
    <row r="69" spans="1:4">
      <c r="A69" t="s">
        <v>1387</v>
      </c>
      <c r="B69" s="222">
        <v>9</v>
      </c>
      <c r="C69" t="s">
        <v>506</v>
      </c>
    </row>
    <row r="70" spans="1:4">
      <c r="A70" t="s">
        <v>519</v>
      </c>
      <c r="B70" s="222">
        <f>290*(10^(B69/10)-1)</f>
        <v>2013.5518807004171</v>
      </c>
      <c r="C70" t="s">
        <v>518</v>
      </c>
    </row>
    <row r="71" spans="1:4">
      <c r="A71" t="s">
        <v>520</v>
      </c>
      <c r="B71" s="222">
        <f>B62+B65+B68+B70/(10^(B66/10))</f>
        <v>146.05558966731959</v>
      </c>
      <c r="C71" s="222" t="s">
        <v>518</v>
      </c>
    </row>
    <row r="72" spans="1:4">
      <c r="B72" s="222">
        <f>10*LOG10(B71)</f>
        <v>21.645181824339751</v>
      </c>
      <c r="C72" s="222" t="s">
        <v>522</v>
      </c>
    </row>
    <row r="73" spans="1:4">
      <c r="A73" t="s">
        <v>523</v>
      </c>
      <c r="B73" s="608">
        <v>512</v>
      </c>
      <c r="C73" t="s">
        <v>1404</v>
      </c>
    </row>
    <row r="74" spans="1:4">
      <c r="A74" s="102"/>
      <c r="B74" s="222"/>
    </row>
    <row r="75" spans="1:4">
      <c r="B75" s="222">
        <f>10*LOG10(B73*1000)</f>
        <v>57.092699609758306</v>
      </c>
      <c r="C75" t="s">
        <v>521</v>
      </c>
    </row>
    <row r="76" spans="1:4">
      <c r="A76" t="s">
        <v>524</v>
      </c>
      <c r="B76" s="222">
        <f>B56+B60-B61-B72-B75</f>
        <v>10.091726732586928</v>
      </c>
      <c r="C76" t="s">
        <v>506</v>
      </c>
    </row>
    <row r="77" spans="1:4">
      <c r="B77" s="222"/>
    </row>
    <row r="78" spans="1:4">
      <c r="A78" t="s">
        <v>525</v>
      </c>
      <c r="B78" s="222">
        <v>9.6</v>
      </c>
      <c r="C78" t="s">
        <v>506</v>
      </c>
      <c r="D78" t="s">
        <v>1394</v>
      </c>
    </row>
    <row r="79" spans="1:4">
      <c r="A79" t="s">
        <v>526</v>
      </c>
      <c r="B79" s="222">
        <f>B76-B78</f>
        <v>0.49172673258692789</v>
      </c>
    </row>
    <row r="80" spans="1:4">
      <c r="A80" t="s">
        <v>1397</v>
      </c>
      <c r="B80" s="222">
        <v>2.2999999999999998</v>
      </c>
      <c r="C80" t="s">
        <v>506</v>
      </c>
      <c r="D80" t="s">
        <v>1395</v>
      </c>
    </row>
    <row r="81" spans="1:4">
      <c r="A81" t="s">
        <v>1396</v>
      </c>
      <c r="B81" s="222">
        <f>B76-B80</f>
        <v>7.7917267325869277</v>
      </c>
    </row>
    <row r="88" spans="1:4" ht="18.75">
      <c r="A88" s="623" t="s">
        <v>1398</v>
      </c>
    </row>
    <row r="89" spans="1:4">
      <c r="A89" t="s">
        <v>469</v>
      </c>
      <c r="B89" t="s">
        <v>494</v>
      </c>
      <c r="C89" t="s">
        <v>471</v>
      </c>
      <c r="D89" t="s">
        <v>493</v>
      </c>
    </row>
    <row r="90" spans="1:4">
      <c r="A90" s="16" t="s">
        <v>496</v>
      </c>
      <c r="B90" s="222"/>
    </row>
    <row r="91" spans="1:4">
      <c r="A91" t="s">
        <v>497</v>
      </c>
      <c r="B91" s="222">
        <v>0</v>
      </c>
      <c r="C91" t="s">
        <v>498</v>
      </c>
      <c r="D91" s="102"/>
    </row>
    <row r="92" spans="1:4">
      <c r="A92" s="102" t="s">
        <v>501</v>
      </c>
      <c r="B92" s="222">
        <v>2</v>
      </c>
      <c r="C92" t="s">
        <v>500</v>
      </c>
      <c r="D92" t="s">
        <v>502</v>
      </c>
    </row>
    <row r="93" spans="1:4">
      <c r="A93" t="s">
        <v>503</v>
      </c>
      <c r="B93" s="222">
        <v>25</v>
      </c>
      <c r="C93" t="s">
        <v>504</v>
      </c>
      <c r="D93" s="102"/>
    </row>
    <row r="94" spans="1:4">
      <c r="A94" t="s">
        <v>507</v>
      </c>
      <c r="B94" s="222">
        <f>B91-B92+B93</f>
        <v>23</v>
      </c>
      <c r="C94" t="s">
        <v>498</v>
      </c>
    </row>
    <row r="95" spans="1:4">
      <c r="B95" s="222"/>
    </row>
    <row r="96" spans="1:4">
      <c r="A96" s="16" t="s">
        <v>510</v>
      </c>
      <c r="B96" s="222"/>
    </row>
    <row r="97" spans="1:4">
      <c r="A97" t="s">
        <v>509</v>
      </c>
      <c r="B97" s="222">
        <f xml:space="preserve"> 92.45+ 20*LOG10('LEO Link Assumptions'!B5) + 20*LOG10('LEO Link Assumptions'!G5)</f>
        <v>176.0592679077549</v>
      </c>
      <c r="C97" t="s">
        <v>506</v>
      </c>
    </row>
    <row r="98" spans="1:4">
      <c r="A98" t="s">
        <v>1378</v>
      </c>
      <c r="B98" s="222">
        <v>0.2</v>
      </c>
      <c r="C98" t="s">
        <v>506</v>
      </c>
    </row>
    <row r="99" spans="1:4">
      <c r="A99" t="s">
        <v>511</v>
      </c>
      <c r="B99" s="222">
        <v>1</v>
      </c>
      <c r="C99" t="s">
        <v>506</v>
      </c>
    </row>
    <row r="100" spans="1:4">
      <c r="A100" t="s">
        <v>1389</v>
      </c>
      <c r="B100" s="222">
        <f>B94-B97-B98-B99</f>
        <v>-154.25926790775489</v>
      </c>
      <c r="C100" t="s">
        <v>506</v>
      </c>
    </row>
    <row r="101" spans="1:4">
      <c r="B101" s="222"/>
    </row>
    <row r="102" spans="1:4">
      <c r="A102" s="16" t="s">
        <v>495</v>
      </c>
      <c r="B102" s="222"/>
    </row>
    <row r="103" spans="1:4">
      <c r="A103" t="s">
        <v>516</v>
      </c>
      <c r="B103" s="222">
        <v>0.5</v>
      </c>
      <c r="C103" t="s">
        <v>506</v>
      </c>
    </row>
    <row r="104" spans="1:4">
      <c r="A104" t="s">
        <v>1391</v>
      </c>
      <c r="B104" s="222">
        <v>43</v>
      </c>
      <c r="C104" t="s">
        <v>504</v>
      </c>
      <c r="D104" t="s">
        <v>1400</v>
      </c>
    </row>
    <row r="105" spans="1:4">
      <c r="A105" t="s">
        <v>514</v>
      </c>
      <c r="B105" s="222">
        <v>-228.6</v>
      </c>
      <c r="C105" t="s">
        <v>515</v>
      </c>
    </row>
    <row r="106" spans="1:4">
      <c r="A106" t="s">
        <v>517</v>
      </c>
      <c r="B106" s="222">
        <v>50</v>
      </c>
      <c r="C106" t="s">
        <v>518</v>
      </c>
      <c r="D106" t="s">
        <v>1392</v>
      </c>
    </row>
    <row r="107" spans="1:4">
      <c r="B107" s="222"/>
    </row>
    <row r="108" spans="1:4">
      <c r="A108" t="s">
        <v>1393</v>
      </c>
      <c r="B108" s="222">
        <v>0.5</v>
      </c>
      <c r="C108" t="s">
        <v>506</v>
      </c>
    </row>
    <row r="109" spans="1:4">
      <c r="A109" t="s">
        <v>1382</v>
      </c>
      <c r="B109" s="222">
        <f>290*(1/10^(-B108/10)-1)</f>
        <v>35.38535174756943</v>
      </c>
      <c r="C109" t="s">
        <v>518</v>
      </c>
    </row>
    <row r="110" spans="1:4">
      <c r="A110" t="s">
        <v>1384</v>
      </c>
      <c r="B110" s="222">
        <v>40</v>
      </c>
      <c r="C110" t="s">
        <v>506</v>
      </c>
    </row>
    <row r="111" spans="1:4">
      <c r="A111" t="s">
        <v>1385</v>
      </c>
      <c r="B111" s="222">
        <v>0.8</v>
      </c>
      <c r="C111" t="s">
        <v>506</v>
      </c>
    </row>
    <row r="112" spans="1:4">
      <c r="A112" t="s">
        <v>1386</v>
      </c>
      <c r="B112" s="222">
        <f>290*(10^(B111/10)-1)</f>
        <v>58.656686039049752</v>
      </c>
      <c r="C112" t="s">
        <v>518</v>
      </c>
    </row>
    <row r="113" spans="1:4">
      <c r="A113" t="s">
        <v>1387</v>
      </c>
      <c r="B113" s="222">
        <v>9</v>
      </c>
      <c r="C113" t="s">
        <v>506</v>
      </c>
    </row>
    <row r="114" spans="1:4">
      <c r="A114" t="s">
        <v>519</v>
      </c>
      <c r="B114" s="222">
        <f>290*(10^(B113/10)-1)</f>
        <v>2013.5518807004171</v>
      </c>
      <c r="C114" t="s">
        <v>518</v>
      </c>
    </row>
    <row r="115" spans="1:4">
      <c r="A115" t="s">
        <v>520</v>
      </c>
      <c r="B115" s="222">
        <f>B106+B109+B112+B114/(10^(B110/10))</f>
        <v>144.24339297468921</v>
      </c>
      <c r="C115" s="222" t="s">
        <v>518</v>
      </c>
    </row>
    <row r="116" spans="1:4">
      <c r="B116" s="222">
        <f>10*LOG10(B115)</f>
        <v>21.590959295549847</v>
      </c>
      <c r="C116" s="222" t="s">
        <v>522</v>
      </c>
    </row>
    <row r="117" spans="1:4">
      <c r="A117" t="s">
        <v>1405</v>
      </c>
      <c r="B117" s="222">
        <f>B104-B116</f>
        <v>21.409040704450153</v>
      </c>
      <c r="C117" s="222"/>
    </row>
    <row r="118" spans="1:4">
      <c r="A118" t="s">
        <v>523</v>
      </c>
      <c r="B118" s="608">
        <v>400</v>
      </c>
      <c r="C118" t="s">
        <v>1403</v>
      </c>
    </row>
    <row r="119" spans="1:4">
      <c r="A119" s="102" t="s">
        <v>1402</v>
      </c>
      <c r="B119" s="222">
        <f>B118*32</f>
        <v>12800</v>
      </c>
      <c r="C119" t="s">
        <v>527</v>
      </c>
    </row>
    <row r="120" spans="1:4" ht="30">
      <c r="A120" s="102" t="s">
        <v>1408</v>
      </c>
      <c r="B120" s="222">
        <f>B118*32*0.5</f>
        <v>6400</v>
      </c>
      <c r="C120" t="s">
        <v>527</v>
      </c>
    </row>
    <row r="121" spans="1:4">
      <c r="B121" s="222">
        <f>10*LOG10(B118*1000*1000)</f>
        <v>86.020599913279625</v>
      </c>
      <c r="C121" t="s">
        <v>521</v>
      </c>
    </row>
    <row r="122" spans="1:4">
      <c r="A122" t="s">
        <v>524</v>
      </c>
      <c r="B122" s="222">
        <f>B100+B104-B105-B116-B121</f>
        <v>9.7291728834156288</v>
      </c>
      <c r="C122" t="s">
        <v>506</v>
      </c>
    </row>
    <row r="123" spans="1:4">
      <c r="B123" s="222"/>
    </row>
    <row r="124" spans="1:4">
      <c r="A124" t="s">
        <v>525</v>
      </c>
      <c r="B124" s="222">
        <v>14</v>
      </c>
      <c r="C124" t="s">
        <v>506</v>
      </c>
      <c r="D124" t="s">
        <v>1406</v>
      </c>
    </row>
    <row r="125" spans="1:4">
      <c r="A125" t="s">
        <v>526</v>
      </c>
      <c r="B125" s="222">
        <f>B122-B124</f>
        <v>-4.2708271165843712</v>
      </c>
    </row>
    <row r="126" spans="1:4">
      <c r="A126" t="s">
        <v>1397</v>
      </c>
      <c r="B126" s="222">
        <v>5.5</v>
      </c>
      <c r="C126" t="s">
        <v>506</v>
      </c>
      <c r="D126" t="s">
        <v>1407</v>
      </c>
    </row>
    <row r="127" spans="1:4">
      <c r="A127" t="s">
        <v>1396</v>
      </c>
      <c r="B127" s="222">
        <f>B122-B126</f>
        <v>4.2291728834156288</v>
      </c>
    </row>
  </sheetData>
  <conditionalFormatting sqref="B57">
    <cfRule type="cellIs" dxfId="3" priority="12" operator="greaterThan">
      <formula>#REF!</formula>
    </cfRule>
  </conditionalFormatting>
  <conditionalFormatting sqref="B101">
    <cfRule type="cellIs" dxfId="2" priority="1" operator="greaterThan">
      <formula>#REF!</formula>
    </cfRule>
  </conditionalFormatting>
  <pageMargins left="0.7" right="0.7" top="0.75" bottom="0.75" header="0.3" footer="0.3"/>
  <pageSetup paperSize="9" orientation="portrait" r:id="rId1"/>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3C3E9-5C4E-4C1A-B973-31EAAEA381B3}">
  <dimension ref="A1:L124"/>
  <sheetViews>
    <sheetView tabSelected="1" topLeftCell="B35" zoomScale="175" zoomScaleNormal="175" workbookViewId="0">
      <selection activeCell="D37" sqref="D37"/>
    </sheetView>
  </sheetViews>
  <sheetFormatPr defaultRowHeight="15"/>
  <cols>
    <col min="1" max="1" width="33.140625" bestFit="1" customWidth="1"/>
    <col min="2" max="2" width="10.85546875" bestFit="1" customWidth="1"/>
    <col min="3" max="3" width="10.28515625" bestFit="1" customWidth="1"/>
    <col min="4" max="4" width="62.42578125" bestFit="1" customWidth="1"/>
    <col min="9" max="9" width="17.28515625" bestFit="1" customWidth="1"/>
    <col min="10" max="10" width="10" bestFit="1" customWidth="1"/>
  </cols>
  <sheetData>
    <row r="1" spans="1:12" ht="18.75">
      <c r="A1" s="623" t="s">
        <v>1419</v>
      </c>
      <c r="B1" s="623"/>
      <c r="C1" s="623"/>
      <c r="D1" s="623"/>
    </row>
    <row r="3" spans="1:12">
      <c r="A3" t="s">
        <v>469</v>
      </c>
      <c r="B3" t="s">
        <v>463</v>
      </c>
      <c r="C3" t="s">
        <v>471</v>
      </c>
      <c r="D3" t="s">
        <v>493</v>
      </c>
    </row>
    <row r="4" spans="1:12">
      <c r="A4" s="16" t="s">
        <v>495</v>
      </c>
      <c r="B4" s="222"/>
    </row>
    <row r="5" spans="1:12">
      <c r="A5" t="s">
        <v>497</v>
      </c>
      <c r="B5" s="222">
        <v>10</v>
      </c>
      <c r="C5" t="s">
        <v>498</v>
      </c>
      <c r="I5" t="s">
        <v>1413</v>
      </c>
      <c r="J5">
        <v>7.2</v>
      </c>
      <c r="K5" t="s">
        <v>476</v>
      </c>
    </row>
    <row r="6" spans="1:12">
      <c r="A6" t="s">
        <v>499</v>
      </c>
      <c r="B6" s="222">
        <v>0</v>
      </c>
      <c r="C6" t="s">
        <v>500</v>
      </c>
      <c r="I6" t="s">
        <v>1414</v>
      </c>
      <c r="J6">
        <v>8.5</v>
      </c>
      <c r="K6" t="s">
        <v>476</v>
      </c>
    </row>
    <row r="7" spans="1:12">
      <c r="A7" t="s">
        <v>503</v>
      </c>
      <c r="B7" s="222">
        <v>75</v>
      </c>
      <c r="C7" t="s">
        <v>504</v>
      </c>
      <c r="D7" t="s">
        <v>1411</v>
      </c>
      <c r="I7" t="s">
        <v>1415</v>
      </c>
      <c r="J7">
        <v>32</v>
      </c>
      <c r="K7" t="s">
        <v>476</v>
      </c>
    </row>
    <row r="8" spans="1:12">
      <c r="A8" t="s">
        <v>1390</v>
      </c>
      <c r="B8" s="222">
        <v>1</v>
      </c>
      <c r="C8" t="s">
        <v>506</v>
      </c>
      <c r="I8" t="s">
        <v>1409</v>
      </c>
      <c r="J8">
        <v>628000000</v>
      </c>
      <c r="K8" t="s">
        <v>479</v>
      </c>
      <c r="L8" t="s">
        <v>1410</v>
      </c>
    </row>
    <row r="9" spans="1:12">
      <c r="A9" t="s">
        <v>507</v>
      </c>
      <c r="B9" s="222">
        <f>B7+B5-B8</f>
        <v>84</v>
      </c>
      <c r="C9" t="s">
        <v>498</v>
      </c>
      <c r="D9" s="102"/>
    </row>
    <row r="10" spans="1:12">
      <c r="B10" s="222"/>
    </row>
    <row r="11" spans="1:12">
      <c r="A11" s="16" t="s">
        <v>508</v>
      </c>
      <c r="B11" s="222"/>
    </row>
    <row r="12" spans="1:12">
      <c r="A12" t="s">
        <v>509</v>
      </c>
      <c r="B12" s="222">
        <f xml:space="preserve"> 92.45+ 20*LOG10($J$8) + 20*LOG10($J$5)</f>
        <v>285.55584280336927</v>
      </c>
      <c r="C12" t="s">
        <v>506</v>
      </c>
    </row>
    <row r="13" spans="1:12">
      <c r="A13" t="s">
        <v>1378</v>
      </c>
      <c r="B13" s="222">
        <v>0.3</v>
      </c>
      <c r="C13" t="s">
        <v>506</v>
      </c>
    </row>
    <row r="14" spans="1:12">
      <c r="A14" t="s">
        <v>511</v>
      </c>
      <c r="B14" s="222">
        <v>1</v>
      </c>
      <c r="C14" t="s">
        <v>506</v>
      </c>
      <c r="D14" t="s">
        <v>1379</v>
      </c>
    </row>
    <row r="15" spans="1:12">
      <c r="A15" t="s">
        <v>1380</v>
      </c>
      <c r="B15" s="222">
        <f>B9-B12-B13-B14</f>
        <v>-202.85584280336928</v>
      </c>
      <c r="C15" t="s">
        <v>506</v>
      </c>
    </row>
    <row r="16" spans="1:12">
      <c r="B16" s="222"/>
    </row>
    <row r="17" spans="1:4">
      <c r="A17" s="16" t="s">
        <v>512</v>
      </c>
      <c r="B17" s="222"/>
    </row>
    <row r="18" spans="1:4">
      <c r="A18" t="s">
        <v>513</v>
      </c>
      <c r="B18" s="222">
        <v>49</v>
      </c>
      <c r="C18" t="s">
        <v>504</v>
      </c>
      <c r="D18" s="102" t="s">
        <v>1426</v>
      </c>
    </row>
    <row r="19" spans="1:4">
      <c r="B19" s="222"/>
      <c r="D19" s="102"/>
    </row>
    <row r="20" spans="1:4">
      <c r="A20" t="s">
        <v>514</v>
      </c>
      <c r="B20" s="222">
        <v>-228.6</v>
      </c>
      <c r="C20" t="s">
        <v>515</v>
      </c>
    </row>
    <row r="21" spans="1:4">
      <c r="A21" t="s">
        <v>517</v>
      </c>
      <c r="B21" s="222">
        <v>10</v>
      </c>
      <c r="C21" t="s">
        <v>518</v>
      </c>
      <c r="D21" t="s">
        <v>1427</v>
      </c>
    </row>
    <row r="22" spans="1:4">
      <c r="A22" t="s">
        <v>1393</v>
      </c>
      <c r="B22" s="222">
        <v>1</v>
      </c>
      <c r="C22" t="s">
        <v>506</v>
      </c>
      <c r="D22" t="s">
        <v>1425</v>
      </c>
    </row>
    <row r="23" spans="1:4">
      <c r="A23" t="s">
        <v>1382</v>
      </c>
      <c r="B23" s="222">
        <f>290*(1/10^(-B22/10)-1)</f>
        <v>75.08836942030851</v>
      </c>
      <c r="C23" t="s">
        <v>518</v>
      </c>
    </row>
    <row r="24" spans="1:4">
      <c r="A24" t="s">
        <v>1384</v>
      </c>
      <c r="B24" s="222">
        <v>40</v>
      </c>
      <c r="C24" t="s">
        <v>506</v>
      </c>
    </row>
    <row r="25" spans="1:4">
      <c r="A25" t="s">
        <v>1385</v>
      </c>
      <c r="B25" s="222">
        <v>0.5</v>
      </c>
      <c r="C25" t="s">
        <v>506</v>
      </c>
    </row>
    <row r="26" spans="1:4">
      <c r="A26" t="s">
        <v>1386</v>
      </c>
      <c r="B26" s="222">
        <f>290*(10^(B25/10)-1)</f>
        <v>35.38535174756943</v>
      </c>
      <c r="C26" t="s">
        <v>518</v>
      </c>
    </row>
    <row r="27" spans="1:4">
      <c r="A27" t="s">
        <v>1387</v>
      </c>
      <c r="B27" s="222">
        <v>9</v>
      </c>
      <c r="C27" t="s">
        <v>506</v>
      </c>
    </row>
    <row r="28" spans="1:4">
      <c r="A28" t="s">
        <v>519</v>
      </c>
      <c r="B28" s="222">
        <f>290*(10^(B27/10)-1)</f>
        <v>2013.5518807004171</v>
      </c>
      <c r="C28" t="s">
        <v>518</v>
      </c>
    </row>
    <row r="29" spans="1:4">
      <c r="A29" t="s">
        <v>520</v>
      </c>
      <c r="B29" s="222">
        <f>B21+B23+B26+B28/(10^(B24/10))</f>
        <v>120.67507635594798</v>
      </c>
      <c r="C29" s="222" t="s">
        <v>518</v>
      </c>
    </row>
    <row r="30" spans="1:4">
      <c r="B30" s="222">
        <f>10*LOG10(B29)</f>
        <v>20.816175822863077</v>
      </c>
      <c r="C30" s="222" t="s">
        <v>522</v>
      </c>
    </row>
    <row r="31" spans="1:4">
      <c r="A31" t="s">
        <v>523</v>
      </c>
      <c r="B31" s="608">
        <v>14</v>
      </c>
      <c r="C31" t="s">
        <v>1404</v>
      </c>
    </row>
    <row r="32" spans="1:4">
      <c r="B32" s="222">
        <f>10*LOG10(B31*1000)</f>
        <v>41.461280356782382</v>
      </c>
      <c r="C32" t="s">
        <v>521</v>
      </c>
    </row>
    <row r="33" spans="1:4">
      <c r="A33" t="s">
        <v>524</v>
      </c>
      <c r="B33" s="222">
        <f>B15+B18-B19-B20-B30-B32</f>
        <v>12.466701016985255</v>
      </c>
      <c r="C33" t="s">
        <v>506</v>
      </c>
    </row>
    <row r="34" spans="1:4">
      <c r="B34" s="222"/>
    </row>
    <row r="35" spans="1:4">
      <c r="A35" t="s">
        <v>525</v>
      </c>
      <c r="B35" s="222">
        <v>18</v>
      </c>
      <c r="C35" t="s">
        <v>506</v>
      </c>
      <c r="D35" t="s">
        <v>1416</v>
      </c>
    </row>
    <row r="36" spans="1:4">
      <c r="A36" t="s">
        <v>526</v>
      </c>
      <c r="B36" s="222">
        <f>B33-B35</f>
        <v>-5.5332989830147454</v>
      </c>
    </row>
    <row r="37" spans="1:4">
      <c r="A37" t="s">
        <v>525</v>
      </c>
      <c r="B37" s="222">
        <v>8.5</v>
      </c>
      <c r="C37" t="s">
        <v>506</v>
      </c>
      <c r="D37" t="s">
        <v>1420</v>
      </c>
    </row>
    <row r="38" spans="1:4">
      <c r="A38" t="s">
        <v>526</v>
      </c>
      <c r="B38" s="222">
        <f>B33-B37</f>
        <v>3.9667010169852546</v>
      </c>
    </row>
    <row r="41" spans="1:4" ht="18.75">
      <c r="A41" s="623" t="s">
        <v>1418</v>
      </c>
    </row>
    <row r="42" spans="1:4">
      <c r="A42" t="s">
        <v>469</v>
      </c>
      <c r="B42" t="s">
        <v>494</v>
      </c>
      <c r="C42" t="s">
        <v>471</v>
      </c>
      <c r="D42" t="s">
        <v>493</v>
      </c>
    </row>
    <row r="43" spans="1:4">
      <c r="A43" s="16" t="s">
        <v>496</v>
      </c>
      <c r="B43" s="222"/>
    </row>
    <row r="44" spans="1:4">
      <c r="A44" t="s">
        <v>497</v>
      </c>
      <c r="B44" s="222">
        <v>17</v>
      </c>
      <c r="C44" t="s">
        <v>498</v>
      </c>
      <c r="D44" s="102" t="s">
        <v>1417</v>
      </c>
    </row>
    <row r="45" spans="1:4">
      <c r="A45" s="102" t="s">
        <v>501</v>
      </c>
      <c r="B45" s="222">
        <v>2</v>
      </c>
      <c r="C45" t="s">
        <v>500</v>
      </c>
      <c r="D45" t="s">
        <v>1425</v>
      </c>
    </row>
    <row r="46" spans="1:4">
      <c r="A46" t="s">
        <v>503</v>
      </c>
      <c r="B46" s="222">
        <v>49</v>
      </c>
      <c r="C46" t="s">
        <v>504</v>
      </c>
      <c r="D46" s="102" t="s">
        <v>1426</v>
      </c>
    </row>
    <row r="47" spans="1:4">
      <c r="A47" t="s">
        <v>507</v>
      </c>
      <c r="B47" s="222">
        <f>B44-B45+B46</f>
        <v>64</v>
      </c>
      <c r="C47" t="s">
        <v>498</v>
      </c>
    </row>
    <row r="48" spans="1:4">
      <c r="B48" s="222"/>
    </row>
    <row r="49" spans="1:4">
      <c r="A49" s="16" t="s">
        <v>510</v>
      </c>
      <c r="B49" s="222"/>
    </row>
    <row r="50" spans="1:4">
      <c r="A50" t="s">
        <v>509</v>
      </c>
      <c r="B50" s="222">
        <f xml:space="preserve"> 92.45+ 20*LOG10($J$8) + 20*LOG10($J$6)</f>
        <v>286.99757138902976</v>
      </c>
      <c r="C50" t="s">
        <v>506</v>
      </c>
    </row>
    <row r="51" spans="1:4">
      <c r="A51" t="s">
        <v>1378</v>
      </c>
      <c r="B51" s="222">
        <v>0</v>
      </c>
      <c r="C51" t="s">
        <v>506</v>
      </c>
    </row>
    <row r="52" spans="1:4">
      <c r="A52" t="s">
        <v>511</v>
      </c>
      <c r="B52" s="222">
        <v>1</v>
      </c>
      <c r="C52" t="s">
        <v>506</v>
      </c>
    </row>
    <row r="53" spans="1:4">
      <c r="A53" t="s">
        <v>1389</v>
      </c>
      <c r="B53" s="222">
        <f>B47-B50-B51-B52</f>
        <v>-223.99757138902976</v>
      </c>
      <c r="C53" t="s">
        <v>506</v>
      </c>
    </row>
    <row r="54" spans="1:4">
      <c r="B54" s="222"/>
    </row>
    <row r="55" spans="1:4">
      <c r="A55" s="16" t="s">
        <v>495</v>
      </c>
      <c r="B55" s="222"/>
    </row>
    <row r="56" spans="1:4">
      <c r="A56" t="s">
        <v>516</v>
      </c>
      <c r="B56" s="222">
        <v>0.5</v>
      </c>
      <c r="C56" t="s">
        <v>506</v>
      </c>
    </row>
    <row r="57" spans="1:4">
      <c r="A57" t="s">
        <v>1391</v>
      </c>
      <c r="B57" s="222">
        <v>75</v>
      </c>
      <c r="C57" t="s">
        <v>504</v>
      </c>
      <c r="D57" t="s">
        <v>1411</v>
      </c>
    </row>
    <row r="58" spans="1:4">
      <c r="A58" t="s">
        <v>514</v>
      </c>
      <c r="B58" s="222">
        <v>-228.6</v>
      </c>
      <c r="C58" t="s">
        <v>515</v>
      </c>
    </row>
    <row r="59" spans="1:4">
      <c r="A59" t="s">
        <v>517</v>
      </c>
      <c r="B59" s="222">
        <v>50</v>
      </c>
      <c r="C59" t="s">
        <v>518</v>
      </c>
      <c r="D59" t="s">
        <v>1412</v>
      </c>
    </row>
    <row r="60" spans="1:4">
      <c r="B60" s="222"/>
    </row>
    <row r="61" spans="1:4">
      <c r="A61" t="s">
        <v>1393</v>
      </c>
      <c r="B61" s="222">
        <v>1</v>
      </c>
      <c r="C61" t="s">
        <v>506</v>
      </c>
    </row>
    <row r="62" spans="1:4">
      <c r="A62" t="s">
        <v>1382</v>
      </c>
      <c r="B62" s="222">
        <f>290*(1/10^(-B61/10)-1)</f>
        <v>75.08836942030851</v>
      </c>
      <c r="C62" t="s">
        <v>518</v>
      </c>
    </row>
    <row r="63" spans="1:4">
      <c r="A63" t="s">
        <v>1384</v>
      </c>
      <c r="B63" s="222">
        <v>30</v>
      </c>
      <c r="C63" t="s">
        <v>506</v>
      </c>
    </row>
    <row r="64" spans="1:4">
      <c r="A64" t="s">
        <v>1385</v>
      </c>
      <c r="B64" s="222">
        <v>0.8</v>
      </c>
      <c r="C64" t="s">
        <v>506</v>
      </c>
    </row>
    <row r="65" spans="1:4">
      <c r="A65" t="s">
        <v>1386</v>
      </c>
      <c r="B65" s="222">
        <f>290*(10^(B64/10)-1)</f>
        <v>58.656686039049752</v>
      </c>
      <c r="C65" t="s">
        <v>518</v>
      </c>
    </row>
    <row r="66" spans="1:4">
      <c r="A66" t="s">
        <v>1387</v>
      </c>
      <c r="B66" s="222">
        <v>9</v>
      </c>
      <c r="C66" t="s">
        <v>506</v>
      </c>
    </row>
    <row r="67" spans="1:4">
      <c r="A67" t="s">
        <v>519</v>
      </c>
      <c r="B67" s="222">
        <f>290*(10^(B66/10)-1)</f>
        <v>2013.5518807004171</v>
      </c>
      <c r="C67" t="s">
        <v>518</v>
      </c>
    </row>
    <row r="68" spans="1:4">
      <c r="A68" t="s">
        <v>520</v>
      </c>
      <c r="B68" s="222">
        <f>B59+B62+B65+B67/(10^(B63/10))</f>
        <v>185.75860734005869</v>
      </c>
      <c r="C68" s="222" t="s">
        <v>518</v>
      </c>
    </row>
    <row r="69" spans="1:4">
      <c r="B69" s="222">
        <f>10*LOG10(B68)</f>
        <v>22.689489464363003</v>
      </c>
      <c r="C69" s="222" t="s">
        <v>522</v>
      </c>
    </row>
    <row r="70" spans="1:4">
      <c r="A70" t="s">
        <v>523</v>
      </c>
      <c r="B70" s="608">
        <v>14</v>
      </c>
      <c r="C70" t="s">
        <v>1404</v>
      </c>
    </row>
    <row r="71" spans="1:4">
      <c r="A71" s="102"/>
      <c r="B71" s="222"/>
    </row>
    <row r="72" spans="1:4">
      <c r="B72" s="222">
        <f>10*LOG10(B70*1000)</f>
        <v>41.461280356782382</v>
      </c>
      <c r="C72" t="s">
        <v>521</v>
      </c>
    </row>
    <row r="73" spans="1:4">
      <c r="A73" t="s">
        <v>524</v>
      </c>
      <c r="B73" s="222">
        <f>B53+B57-B58-B69-B72</f>
        <v>15.451658789824847</v>
      </c>
      <c r="C73" t="s">
        <v>506</v>
      </c>
    </row>
    <row r="74" spans="1:4">
      <c r="B74" s="222"/>
    </row>
    <row r="75" spans="1:4">
      <c r="A75" t="s">
        <v>525</v>
      </c>
      <c r="B75" s="222">
        <v>18</v>
      </c>
      <c r="C75" t="s">
        <v>506</v>
      </c>
      <c r="D75" t="s">
        <v>1416</v>
      </c>
    </row>
    <row r="76" spans="1:4">
      <c r="A76" t="s">
        <v>526</v>
      </c>
      <c r="B76" s="222">
        <f>B73-B75</f>
        <v>-2.5483412101751526</v>
      </c>
    </row>
    <row r="77" spans="1:4">
      <c r="A77" t="s">
        <v>1397</v>
      </c>
      <c r="B77" s="222">
        <v>8.5</v>
      </c>
      <c r="C77" t="s">
        <v>506</v>
      </c>
      <c r="D77" t="s">
        <v>1423</v>
      </c>
    </row>
    <row r="78" spans="1:4">
      <c r="A78" t="s">
        <v>1396</v>
      </c>
      <c r="B78" s="222">
        <f>B73-B77</f>
        <v>6.9516587898248474</v>
      </c>
    </row>
    <row r="87" spans="1:4" ht="18.75">
      <c r="A87" s="623" t="s">
        <v>1421</v>
      </c>
    </row>
    <row r="88" spans="1:4">
      <c r="A88" t="s">
        <v>469</v>
      </c>
      <c r="B88" t="s">
        <v>494</v>
      </c>
      <c r="C88" t="s">
        <v>471</v>
      </c>
      <c r="D88" t="s">
        <v>493</v>
      </c>
    </row>
    <row r="89" spans="1:4">
      <c r="A89" s="16" t="s">
        <v>496</v>
      </c>
      <c r="B89" s="222"/>
    </row>
    <row r="90" spans="1:4">
      <c r="A90" t="s">
        <v>497</v>
      </c>
      <c r="B90" s="222">
        <v>20</v>
      </c>
      <c r="C90" t="s">
        <v>498</v>
      </c>
      <c r="D90" s="102" t="s">
        <v>1430</v>
      </c>
    </row>
    <row r="91" spans="1:4">
      <c r="A91" s="102" t="s">
        <v>501</v>
      </c>
      <c r="B91" s="222">
        <v>2</v>
      </c>
      <c r="C91" t="s">
        <v>500</v>
      </c>
      <c r="D91" t="s">
        <v>1425</v>
      </c>
    </row>
    <row r="92" spans="1:4">
      <c r="A92" t="s">
        <v>503</v>
      </c>
      <c r="B92" s="222">
        <v>58</v>
      </c>
      <c r="C92" t="s">
        <v>504</v>
      </c>
      <c r="D92" s="102" t="s">
        <v>1426</v>
      </c>
    </row>
    <row r="93" spans="1:4">
      <c r="A93" t="s">
        <v>507</v>
      </c>
      <c r="B93" s="222">
        <f>B90-B91+B92</f>
        <v>76</v>
      </c>
      <c r="C93" t="s">
        <v>498</v>
      </c>
    </row>
    <row r="94" spans="1:4">
      <c r="B94" s="222"/>
    </row>
    <row r="95" spans="1:4">
      <c r="A95" s="16" t="s">
        <v>510</v>
      </c>
      <c r="B95" s="222"/>
    </row>
    <row r="96" spans="1:4">
      <c r="A96" t="s">
        <v>509</v>
      </c>
      <c r="B96" s="222">
        <f xml:space="preserve"> 92.45+ 20*LOG10($J$8) + 20*LOG10($J$7)</f>
        <v>298.51219244114202</v>
      </c>
      <c r="C96" t="s">
        <v>506</v>
      </c>
    </row>
    <row r="97" spans="1:4">
      <c r="A97" t="s">
        <v>1378</v>
      </c>
      <c r="B97" s="222">
        <v>2</v>
      </c>
      <c r="C97" t="s">
        <v>506</v>
      </c>
      <c r="D97" t="s">
        <v>1424</v>
      </c>
    </row>
    <row r="98" spans="1:4">
      <c r="A98" t="s">
        <v>511</v>
      </c>
      <c r="B98" s="222">
        <v>2</v>
      </c>
      <c r="C98" t="s">
        <v>506</v>
      </c>
    </row>
    <row r="99" spans="1:4">
      <c r="A99" t="s">
        <v>1389</v>
      </c>
      <c r="B99" s="222">
        <f>B93-B96-B97-B98</f>
        <v>-226.51219244114202</v>
      </c>
      <c r="C99" t="s">
        <v>506</v>
      </c>
    </row>
    <row r="100" spans="1:4">
      <c r="B100" s="222"/>
    </row>
    <row r="101" spans="1:4">
      <c r="A101" s="16" t="s">
        <v>495</v>
      </c>
      <c r="B101" s="222"/>
    </row>
    <row r="102" spans="1:4">
      <c r="A102" t="s">
        <v>516</v>
      </c>
      <c r="B102" s="222">
        <v>0.5</v>
      </c>
      <c r="C102" t="s">
        <v>506</v>
      </c>
    </row>
    <row r="103" spans="1:4">
      <c r="A103" t="s">
        <v>1391</v>
      </c>
      <c r="B103" s="222">
        <v>86</v>
      </c>
      <c r="C103" t="s">
        <v>504</v>
      </c>
      <c r="D103" t="s">
        <v>1411</v>
      </c>
    </row>
    <row r="104" spans="1:4">
      <c r="A104" t="s">
        <v>514</v>
      </c>
      <c r="B104" s="222">
        <v>-228.6</v>
      </c>
      <c r="C104" t="s">
        <v>515</v>
      </c>
    </row>
    <row r="105" spans="1:4">
      <c r="A105" t="s">
        <v>517</v>
      </c>
      <c r="B105" s="222">
        <v>50</v>
      </c>
      <c r="C105" t="s">
        <v>518</v>
      </c>
      <c r="D105" t="s">
        <v>1412</v>
      </c>
    </row>
    <row r="106" spans="1:4">
      <c r="B106" s="222"/>
    </row>
    <row r="107" spans="1:4">
      <c r="A107" t="s">
        <v>1393</v>
      </c>
      <c r="B107" s="222">
        <v>1</v>
      </c>
      <c r="C107" t="s">
        <v>506</v>
      </c>
    </row>
    <row r="108" spans="1:4">
      <c r="A108" t="s">
        <v>1382</v>
      </c>
      <c r="B108" s="222">
        <f>290*(1/10^(-B107/10)-1)</f>
        <v>75.08836942030851</v>
      </c>
      <c r="C108" t="s">
        <v>518</v>
      </c>
    </row>
    <row r="109" spans="1:4">
      <c r="A109" t="s">
        <v>1384</v>
      </c>
      <c r="B109" s="222">
        <v>30</v>
      </c>
      <c r="C109" t="s">
        <v>506</v>
      </c>
    </row>
    <row r="110" spans="1:4">
      <c r="A110" t="s">
        <v>1385</v>
      </c>
      <c r="B110" s="222">
        <v>0.8</v>
      </c>
      <c r="C110" t="s">
        <v>506</v>
      </c>
    </row>
    <row r="111" spans="1:4">
      <c r="A111" t="s">
        <v>1386</v>
      </c>
      <c r="B111" s="222">
        <f>290*(10^(B110/10)-1)</f>
        <v>58.656686039049752</v>
      </c>
      <c r="C111" t="s">
        <v>518</v>
      </c>
    </row>
    <row r="112" spans="1:4">
      <c r="A112" t="s">
        <v>1387</v>
      </c>
      <c r="B112" s="222">
        <v>9</v>
      </c>
      <c r="C112" t="s">
        <v>506</v>
      </c>
    </row>
    <row r="113" spans="1:4">
      <c r="A113" t="s">
        <v>519</v>
      </c>
      <c r="B113" s="222">
        <f>290*(10^(B112/10)-1)</f>
        <v>2013.5518807004171</v>
      </c>
      <c r="C113" t="s">
        <v>518</v>
      </c>
    </row>
    <row r="114" spans="1:4">
      <c r="A114" t="s">
        <v>520</v>
      </c>
      <c r="B114" s="222">
        <f>B105+B108+B111+B113/(10^(B109/10))</f>
        <v>185.75860734005869</v>
      </c>
      <c r="C114" s="222" t="s">
        <v>518</v>
      </c>
    </row>
    <row r="115" spans="1:4">
      <c r="B115" s="222">
        <f>10*LOG10(B114)</f>
        <v>22.689489464363003</v>
      </c>
      <c r="C115" s="222" t="s">
        <v>522</v>
      </c>
    </row>
    <row r="116" spans="1:4">
      <c r="A116" t="s">
        <v>523</v>
      </c>
      <c r="B116" s="608">
        <v>129</v>
      </c>
      <c r="C116" t="s">
        <v>1404</v>
      </c>
    </row>
    <row r="117" spans="1:4">
      <c r="A117" s="102"/>
      <c r="B117" s="222"/>
    </row>
    <row r="118" spans="1:4">
      <c r="B118" s="222">
        <f>10*LOG10(B116*1000)</f>
        <v>51.105897102992486</v>
      </c>
      <c r="C118" t="s">
        <v>521</v>
      </c>
    </row>
    <row r="119" spans="1:4">
      <c r="A119" t="s">
        <v>524</v>
      </c>
      <c r="B119" s="222">
        <f>B99+B103-B104-B115-B118</f>
        <v>14.292420991502482</v>
      </c>
      <c r="C119" t="s">
        <v>506</v>
      </c>
    </row>
    <row r="120" spans="1:4">
      <c r="B120" s="222"/>
    </row>
    <row r="121" spans="1:4">
      <c r="A121" t="s">
        <v>525</v>
      </c>
      <c r="B121" s="222">
        <v>18</v>
      </c>
      <c r="C121" t="s">
        <v>506</v>
      </c>
      <c r="D121" t="s">
        <v>1416</v>
      </c>
    </row>
    <row r="122" spans="1:4">
      <c r="A122" t="s">
        <v>526</v>
      </c>
      <c r="B122" s="222">
        <f>B119-B121</f>
        <v>-3.7075790084975182</v>
      </c>
    </row>
    <row r="123" spans="1:4">
      <c r="A123" t="s">
        <v>1397</v>
      </c>
      <c r="B123" s="222">
        <v>8.5</v>
      </c>
      <c r="C123" t="s">
        <v>506</v>
      </c>
      <c r="D123" t="s">
        <v>1422</v>
      </c>
    </row>
    <row r="124" spans="1:4">
      <c r="A124" t="s">
        <v>1396</v>
      </c>
      <c r="B124" s="222">
        <f>B119-B123</f>
        <v>5.7924209915024818</v>
      </c>
    </row>
  </sheetData>
  <conditionalFormatting sqref="B54">
    <cfRule type="cellIs" dxfId="1" priority="2" operator="greaterThan">
      <formula>#REF!</formula>
    </cfRule>
  </conditionalFormatting>
  <conditionalFormatting sqref="B100">
    <cfRule type="cellIs" dxfId="0" priority="1" operator="greaterThan">
      <formula>#REF!</formula>
    </cfRule>
  </conditionalFormatting>
  <pageMargins left="0.7" right="0.7" top="0.75" bottom="0.75" header="0.3" footer="0.3"/>
  <tableParts count="3">
    <tablePart r:id="rId1"/>
    <tablePart r:id="rId2"/>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AL93"/>
  <sheetViews>
    <sheetView zoomScale="110" zoomScaleNormal="110" workbookViewId="0">
      <pane xSplit="9" ySplit="12" topLeftCell="U64" activePane="bottomRight" state="frozen"/>
      <selection pane="topRight" activeCell="E1" sqref="E1"/>
      <selection pane="bottomLeft" activeCell="E1" sqref="E1"/>
      <selection pane="bottomRight" activeCell="E1" sqref="E1"/>
    </sheetView>
  </sheetViews>
  <sheetFormatPr defaultColWidth="8.85546875" defaultRowHeight="15"/>
  <cols>
    <col min="1" max="1" width="5.28515625" customWidth="1"/>
    <col min="2" max="2" width="31.42578125" customWidth="1"/>
    <col min="3" max="3" width="6.7109375" customWidth="1"/>
    <col min="4" max="4" width="6.85546875" customWidth="1"/>
    <col min="5" max="5" width="8.85546875" style="36"/>
    <col min="6" max="6" width="12.42578125" style="36" bestFit="1" customWidth="1"/>
    <col min="7" max="7" width="12.42578125" style="36" customWidth="1"/>
    <col min="8" max="8" width="15.85546875" style="36" customWidth="1"/>
    <col min="9" max="9" width="12.42578125" bestFit="1" customWidth="1"/>
    <col min="10" max="17" width="9.140625" bestFit="1" customWidth="1"/>
    <col min="18" max="18" width="6.85546875" customWidth="1"/>
    <col min="19" max="19" width="9.7109375" bestFit="1" customWidth="1"/>
    <col min="20" max="25" width="9.140625" bestFit="1" customWidth="1"/>
    <col min="26" max="26" width="6.85546875" customWidth="1"/>
    <col min="27" max="33" width="9.140625" bestFit="1" customWidth="1"/>
    <col min="34" max="34" width="9.85546875" style="115" bestFit="1" customWidth="1"/>
    <col min="35" max="36" width="9.7109375" style="115" bestFit="1" customWidth="1"/>
  </cols>
  <sheetData>
    <row r="1" spans="1:35" ht="18.75">
      <c r="A1" s="1" t="s">
        <v>528</v>
      </c>
    </row>
    <row r="5" spans="1:35">
      <c r="B5" s="4" t="s">
        <v>529</v>
      </c>
    </row>
    <row r="6" spans="1:35">
      <c r="B6" s="6" t="s">
        <v>530</v>
      </c>
      <c r="C6" s="7">
        <v>2019</v>
      </c>
    </row>
    <row r="7" spans="1:35">
      <c r="B7" s="6" t="s">
        <v>531</v>
      </c>
      <c r="C7" s="125" t="s">
        <v>532</v>
      </c>
      <c r="D7" s="17"/>
    </row>
    <row r="8" spans="1:35">
      <c r="I8" t="s">
        <v>533</v>
      </c>
      <c r="J8" s="2">
        <v>2020</v>
      </c>
      <c r="K8" s="2"/>
      <c r="L8" s="2"/>
      <c r="M8" s="2"/>
      <c r="N8" s="3">
        <v>2021</v>
      </c>
      <c r="O8" s="3"/>
      <c r="P8" s="3"/>
      <c r="Q8" s="3"/>
      <c r="R8" s="2">
        <v>2022</v>
      </c>
      <c r="S8" s="2"/>
      <c r="T8" s="2"/>
      <c r="U8" s="2"/>
      <c r="V8" s="3">
        <v>2023</v>
      </c>
      <c r="W8" s="3"/>
      <c r="X8" s="3"/>
      <c r="Y8" s="3"/>
      <c r="Z8" s="2">
        <v>2024</v>
      </c>
      <c r="AA8" s="2"/>
      <c r="AB8" s="2"/>
      <c r="AC8" s="2"/>
      <c r="AD8" s="3">
        <v>2025</v>
      </c>
      <c r="AE8" s="3"/>
      <c r="AF8" s="3"/>
      <c r="AG8" s="3"/>
      <c r="AH8" s="115" t="s">
        <v>534</v>
      </c>
      <c r="AI8" s="115" t="s">
        <v>535</v>
      </c>
    </row>
    <row r="9" spans="1:35">
      <c r="I9" t="s">
        <v>27</v>
      </c>
      <c r="J9" s="629" t="s">
        <v>536</v>
      </c>
      <c r="K9" s="630"/>
      <c r="L9" s="631"/>
      <c r="M9" s="629" t="s">
        <v>537</v>
      </c>
      <c r="N9" s="632"/>
      <c r="O9" s="632"/>
      <c r="P9" s="632"/>
      <c r="Q9" s="632"/>
      <c r="R9" s="633"/>
      <c r="S9" s="634" t="s">
        <v>538</v>
      </c>
      <c r="T9" s="632"/>
      <c r="U9" s="632"/>
      <c r="V9" s="631"/>
      <c r="W9" s="629" t="s">
        <v>539</v>
      </c>
      <c r="X9" s="630"/>
      <c r="Y9" s="630"/>
      <c r="Z9" s="630"/>
      <c r="AA9" s="630"/>
      <c r="AB9" s="630"/>
      <c r="AC9" s="630"/>
      <c r="AD9" s="631"/>
      <c r="AE9" s="629" t="s">
        <v>540</v>
      </c>
      <c r="AF9" s="630"/>
      <c r="AG9" s="631"/>
    </row>
    <row r="10" spans="1:35">
      <c r="A10" t="s">
        <v>541</v>
      </c>
      <c r="B10" s="9" t="s">
        <v>542</v>
      </c>
      <c r="C10" s="10"/>
      <c r="D10" s="11"/>
      <c r="E10" s="36" t="s">
        <v>543</v>
      </c>
      <c r="F10" s="36" t="s">
        <v>544</v>
      </c>
      <c r="G10" s="36" t="s">
        <v>545</v>
      </c>
      <c r="H10" s="36" t="s">
        <v>546</v>
      </c>
      <c r="I10" s="17" t="s">
        <v>547</v>
      </c>
      <c r="J10" s="17" t="s">
        <v>548</v>
      </c>
      <c r="K10" s="17" t="s">
        <v>549</v>
      </c>
      <c r="L10" s="17" t="s">
        <v>550</v>
      </c>
      <c r="M10" s="17" t="s">
        <v>551</v>
      </c>
      <c r="N10" s="17" t="s">
        <v>548</v>
      </c>
      <c r="O10" s="17" t="s">
        <v>549</v>
      </c>
      <c r="P10" s="17" t="s">
        <v>550</v>
      </c>
      <c r="Q10" s="17" t="s">
        <v>551</v>
      </c>
      <c r="R10" s="17" t="s">
        <v>548</v>
      </c>
      <c r="S10" s="17" t="s">
        <v>549</v>
      </c>
      <c r="T10" s="17" t="s">
        <v>550</v>
      </c>
      <c r="U10" s="17" t="s">
        <v>551</v>
      </c>
      <c r="V10" s="17" t="s">
        <v>548</v>
      </c>
      <c r="W10" s="17" t="s">
        <v>549</v>
      </c>
      <c r="X10" s="17" t="s">
        <v>550</v>
      </c>
      <c r="Y10" s="17" t="s">
        <v>551</v>
      </c>
      <c r="Z10" s="17" t="s">
        <v>548</v>
      </c>
      <c r="AA10" s="17" t="s">
        <v>549</v>
      </c>
      <c r="AB10" s="17" t="s">
        <v>550</v>
      </c>
      <c r="AC10" s="17" t="s">
        <v>551</v>
      </c>
      <c r="AD10" s="17" t="s">
        <v>548</v>
      </c>
      <c r="AE10" s="17" t="s">
        <v>549</v>
      </c>
      <c r="AF10" s="17" t="s">
        <v>550</v>
      </c>
      <c r="AG10" s="17" t="s">
        <v>551</v>
      </c>
    </row>
    <row r="11" spans="1:35">
      <c r="B11" s="12" t="s">
        <v>552</v>
      </c>
      <c r="C11" s="13"/>
      <c r="D11" s="14"/>
      <c r="I11" s="17" t="s">
        <v>553</v>
      </c>
      <c r="J11" s="17" t="s">
        <v>554</v>
      </c>
      <c r="K11" s="17"/>
      <c r="L11" s="17"/>
      <c r="M11" s="17" t="s">
        <v>555</v>
      </c>
      <c r="N11" s="17"/>
      <c r="O11" s="17"/>
      <c r="P11" s="17"/>
      <c r="Q11" s="17"/>
      <c r="R11" s="17"/>
      <c r="S11" s="17"/>
      <c r="T11" s="17"/>
      <c r="U11" s="17"/>
      <c r="V11" s="17"/>
      <c r="W11" s="17"/>
      <c r="X11" s="17"/>
      <c r="Y11" s="17"/>
      <c r="Z11" s="17"/>
      <c r="AA11" s="17"/>
      <c r="AB11" s="17"/>
      <c r="AC11" s="17"/>
      <c r="AD11" s="17"/>
      <c r="AE11" s="17"/>
      <c r="AF11" s="17"/>
      <c r="AG11" s="17"/>
    </row>
    <row r="12" spans="1:35">
      <c r="B12" s="39" t="s">
        <v>556</v>
      </c>
      <c r="C12" s="40"/>
      <c r="D12" s="41"/>
      <c r="J12" s="8">
        <v>43862</v>
      </c>
      <c r="K12" s="8">
        <v>43922</v>
      </c>
      <c r="L12" s="8">
        <v>44012</v>
      </c>
      <c r="M12" s="8">
        <v>44227</v>
      </c>
    </row>
    <row r="13" spans="1:35">
      <c r="B13" s="42" t="s">
        <v>557</v>
      </c>
      <c r="C13" s="43"/>
      <c r="D13" s="44"/>
    </row>
    <row r="14" spans="1:35">
      <c r="A14" t="s">
        <v>32</v>
      </c>
      <c r="B14" s="42" t="s">
        <v>558</v>
      </c>
      <c r="C14" s="43"/>
      <c r="D14" s="44"/>
      <c r="E14" s="36" t="s">
        <v>12</v>
      </c>
      <c r="F14" s="36" t="s">
        <v>13</v>
      </c>
      <c r="G14" s="36" t="str">
        <f>CONCATENATE(E14,F14)</f>
        <v>MGTManpower</v>
      </c>
      <c r="H14" s="60">
        <v>110000</v>
      </c>
      <c r="J14" s="119" t="e">
        <f>SUMIF(#REF!,'Price Table 8 CS'!$A14,#REF!)</f>
        <v>#REF!</v>
      </c>
      <c r="K14" s="119" t="e">
        <f>SUMIF(#REF!,'Price Table 8 CS'!$A14,#REF!)</f>
        <v>#REF!</v>
      </c>
      <c r="L14" s="119" t="e">
        <f>SUMIF(#REF!,'Price Table 8 CS'!$A14,#REF!)</f>
        <v>#REF!</v>
      </c>
      <c r="M14" s="119" t="e">
        <f>SUMIF(#REF!,'Price Table 8 CS'!$A14,#REF!)</f>
        <v>#REF!</v>
      </c>
      <c r="N14" s="119" t="e">
        <f>SUMIF(#REF!,'Price Table 8 CS'!$A14,#REF!)</f>
        <v>#REF!</v>
      </c>
      <c r="O14" s="119" t="e">
        <f>SUMIF(#REF!,'Price Table 8 CS'!$A14,#REF!)</f>
        <v>#REF!</v>
      </c>
      <c r="P14" s="119" t="e">
        <f>SUMIF(#REF!,'Price Table 8 CS'!$A14,#REF!)</f>
        <v>#REF!</v>
      </c>
      <c r="Q14" s="119" t="e">
        <f>SUMIF(#REF!,'Price Table 8 CS'!$A14,#REF!)</f>
        <v>#REF!</v>
      </c>
      <c r="R14" s="119" t="e">
        <f>SUMIF(#REF!,'Price Table 8 CS'!$A14,#REF!)</f>
        <v>#REF!</v>
      </c>
      <c r="S14" s="119" t="e">
        <f>SUMIF(#REF!,'Price Table 8 CS'!$A14,#REF!)</f>
        <v>#REF!</v>
      </c>
      <c r="T14" s="119" t="e">
        <f>SUMIF(#REF!,'Price Table 8 CS'!$A14,#REF!)</f>
        <v>#REF!</v>
      </c>
      <c r="U14" s="119" t="e">
        <f>SUMIF(#REF!,'Price Table 8 CS'!$A14,#REF!)</f>
        <v>#REF!</v>
      </c>
      <c r="V14" s="119" t="e">
        <f>SUMIF(#REF!,'Price Table 8 CS'!$A14,#REF!)</f>
        <v>#REF!</v>
      </c>
      <c r="W14" s="119" t="e">
        <f>SUMIF(#REF!,'Price Table 8 CS'!$A14,#REF!)</f>
        <v>#REF!</v>
      </c>
      <c r="X14" s="119" t="e">
        <f>SUMIF(#REF!,'Price Table 8 CS'!$A14,#REF!)</f>
        <v>#REF!</v>
      </c>
      <c r="Y14" s="119" t="e">
        <f>SUMIF(#REF!,'Price Table 8 CS'!$A14,#REF!)</f>
        <v>#REF!</v>
      </c>
      <c r="Z14" s="119" t="e">
        <f>SUMIF(#REF!,'Price Table 8 CS'!$A14,#REF!)</f>
        <v>#REF!</v>
      </c>
      <c r="AA14" s="119" t="e">
        <f>SUMIF(#REF!,'Price Table 8 CS'!$A14,#REF!)</f>
        <v>#REF!</v>
      </c>
      <c r="AB14" s="119" t="e">
        <f>SUMIF(#REF!,'Price Table 8 CS'!$A14,#REF!)</f>
        <v>#REF!</v>
      </c>
      <c r="AC14" s="119" t="e">
        <f>SUMIF(#REF!,'Price Table 8 CS'!$A14,#REF!)</f>
        <v>#REF!</v>
      </c>
      <c r="AD14" s="119" t="e">
        <f>SUMIF(#REF!,'Price Table 8 CS'!$A14,#REF!)</f>
        <v>#REF!</v>
      </c>
      <c r="AE14" s="119" t="e">
        <f>SUMIF(#REF!,'Price Table 8 CS'!$A14,#REF!)</f>
        <v>#REF!</v>
      </c>
      <c r="AF14" s="119" t="e">
        <f>SUMIF(#REF!,'Price Table 8 CS'!$A14,#REF!)</f>
        <v>#REF!</v>
      </c>
      <c r="AG14" s="119" t="e">
        <f>SUMIF(#REF!,'Price Table 8 CS'!$A14,#REF!)</f>
        <v>#REF!</v>
      </c>
      <c r="AH14" s="115" t="e">
        <f>SUM(J14:AG14)</f>
        <v>#REF!</v>
      </c>
      <c r="AI14" s="115" t="e">
        <f>SUMIF(#REF!,'Price Table 8 CS'!$A14,#REF!)</f>
        <v>#REF!</v>
      </c>
    </row>
    <row r="15" spans="1:35">
      <c r="A15" t="s">
        <v>76</v>
      </c>
      <c r="B15" s="42" t="s">
        <v>559</v>
      </c>
      <c r="C15" s="43"/>
      <c r="D15" s="44"/>
      <c r="E15" s="36" t="s">
        <v>12</v>
      </c>
      <c r="F15" s="36" t="s">
        <v>13</v>
      </c>
      <c r="G15" s="36" t="str">
        <f>CONCATENATE(E15,F15)</f>
        <v>MGTManpower</v>
      </c>
      <c r="H15" s="16">
        <v>130000</v>
      </c>
      <c r="J15" s="119" t="e">
        <f>SUMIF(#REF!,'Price Table 8 CS'!$A15,#REF!)</f>
        <v>#REF!</v>
      </c>
      <c r="K15" s="119" t="e">
        <f>SUMIF(#REF!,'Price Table 8 CS'!$A15,#REF!)</f>
        <v>#REF!</v>
      </c>
      <c r="L15" s="119" t="e">
        <f>SUMIF(#REF!,'Price Table 8 CS'!$A15,#REF!)</f>
        <v>#REF!</v>
      </c>
      <c r="M15" s="119" t="e">
        <f>SUMIF(#REF!,'Price Table 8 CS'!$A15,#REF!)</f>
        <v>#REF!</v>
      </c>
      <c r="N15" s="119" t="e">
        <f>SUMIF(#REF!,'Price Table 8 CS'!$A15,#REF!)</f>
        <v>#REF!</v>
      </c>
      <c r="O15" s="119" t="e">
        <f>SUMIF(#REF!,'Price Table 8 CS'!$A15,#REF!)</f>
        <v>#REF!</v>
      </c>
      <c r="P15" s="119" t="e">
        <f>SUMIF(#REF!,'Price Table 8 CS'!$A15,#REF!)</f>
        <v>#REF!</v>
      </c>
      <c r="Q15" s="119" t="e">
        <f>SUMIF(#REF!,'Price Table 8 CS'!$A15,#REF!)</f>
        <v>#REF!</v>
      </c>
      <c r="R15" s="119" t="e">
        <f>SUMIF(#REF!,'Price Table 8 CS'!$A15,#REF!)</f>
        <v>#REF!</v>
      </c>
      <c r="S15" s="119" t="e">
        <f>SUMIF(#REF!,'Price Table 8 CS'!$A15,#REF!)</f>
        <v>#REF!</v>
      </c>
      <c r="T15" s="119" t="e">
        <f>SUMIF(#REF!,'Price Table 8 CS'!$A15,#REF!)</f>
        <v>#REF!</v>
      </c>
      <c r="U15" s="119" t="e">
        <f>SUMIF(#REF!,'Price Table 8 CS'!$A15,#REF!)</f>
        <v>#REF!</v>
      </c>
      <c r="V15" s="119" t="e">
        <f>SUMIF(#REF!,'Price Table 8 CS'!$A15,#REF!)</f>
        <v>#REF!</v>
      </c>
      <c r="W15" s="119" t="e">
        <f>SUMIF(#REF!,'Price Table 8 CS'!$A15,#REF!)</f>
        <v>#REF!</v>
      </c>
      <c r="X15" s="119" t="e">
        <f>SUMIF(#REF!,'Price Table 8 CS'!$A15,#REF!)</f>
        <v>#REF!</v>
      </c>
      <c r="Y15" s="119" t="e">
        <f>SUMIF(#REF!,'Price Table 8 CS'!$A15,#REF!)</f>
        <v>#REF!</v>
      </c>
      <c r="Z15" s="119" t="e">
        <f>SUMIF(#REF!,'Price Table 8 CS'!$A15,#REF!)</f>
        <v>#REF!</v>
      </c>
      <c r="AA15" s="119" t="e">
        <f>SUMIF(#REF!,'Price Table 8 CS'!$A15,#REF!)</f>
        <v>#REF!</v>
      </c>
      <c r="AB15" s="119" t="e">
        <f>SUMIF(#REF!,'Price Table 8 CS'!$A15,#REF!)</f>
        <v>#REF!</v>
      </c>
      <c r="AC15" s="119" t="e">
        <f>SUMIF(#REF!,'Price Table 8 CS'!$A15,#REF!)</f>
        <v>#REF!</v>
      </c>
      <c r="AD15" s="119" t="e">
        <f>SUMIF(#REF!,'Price Table 8 CS'!$A15,#REF!)</f>
        <v>#REF!</v>
      </c>
      <c r="AE15" s="119" t="e">
        <f>SUMIF(#REF!,'Price Table 8 CS'!$A15,#REF!)</f>
        <v>#REF!</v>
      </c>
      <c r="AF15" s="119" t="e">
        <f>SUMIF(#REF!,'Price Table 8 CS'!$A15,#REF!)</f>
        <v>#REF!</v>
      </c>
      <c r="AG15" s="119" t="e">
        <f>SUMIF(#REF!,'Price Table 8 CS'!$A15,#REF!)</f>
        <v>#REF!</v>
      </c>
      <c r="AH15" s="115" t="e">
        <f t="shared" ref="AH15:AH78" si="0">SUM(J15:AG15)</f>
        <v>#REF!</v>
      </c>
      <c r="AI15" s="115" t="e">
        <f>SUMIF(#REF!,'Price Table 8 CS'!$A15,#REF!)</f>
        <v>#REF!</v>
      </c>
    </row>
    <row r="16" spans="1:35">
      <c r="A16" t="s">
        <v>62</v>
      </c>
      <c r="B16" s="42" t="s">
        <v>560</v>
      </c>
      <c r="C16" s="43"/>
      <c r="D16" s="44"/>
      <c r="E16" s="36" t="s">
        <v>14</v>
      </c>
      <c r="F16" s="36" t="s">
        <v>13</v>
      </c>
      <c r="G16" s="36" t="str">
        <f>CONCATENATE(E16,F16)</f>
        <v>MISSIONManpower</v>
      </c>
      <c r="H16" s="16" t="s">
        <v>561</v>
      </c>
      <c r="J16" s="119" t="e">
        <f>SUMIF(#REF!,'Price Table 8 CS'!$A16,#REF!)</f>
        <v>#REF!</v>
      </c>
      <c r="K16" s="119" t="e">
        <f>SUMIF(#REF!,'Price Table 8 CS'!$A16,#REF!)</f>
        <v>#REF!</v>
      </c>
      <c r="L16" s="119" t="e">
        <f>SUMIF(#REF!,'Price Table 8 CS'!$A16,#REF!)</f>
        <v>#REF!</v>
      </c>
      <c r="M16" s="119" t="e">
        <f>SUMIF(#REF!,'Price Table 8 CS'!$A16,#REF!)</f>
        <v>#REF!</v>
      </c>
      <c r="N16" s="119" t="e">
        <f>SUMIF(#REF!,'Price Table 8 CS'!$A16,#REF!)</f>
        <v>#REF!</v>
      </c>
      <c r="O16" s="119" t="e">
        <f>SUMIF(#REF!,'Price Table 8 CS'!$A16,#REF!)</f>
        <v>#REF!</v>
      </c>
      <c r="P16" s="119" t="e">
        <f>SUMIF(#REF!,'Price Table 8 CS'!$A16,#REF!)</f>
        <v>#REF!</v>
      </c>
      <c r="Q16" s="119" t="e">
        <f>SUMIF(#REF!,'Price Table 8 CS'!$A16,#REF!)</f>
        <v>#REF!</v>
      </c>
      <c r="R16" s="119" t="e">
        <f>SUMIF(#REF!,'Price Table 8 CS'!$A16,#REF!)</f>
        <v>#REF!</v>
      </c>
      <c r="S16" s="119" t="e">
        <f>SUMIF(#REF!,'Price Table 8 CS'!$A16,#REF!)</f>
        <v>#REF!</v>
      </c>
      <c r="T16" s="119" t="e">
        <f>SUMIF(#REF!,'Price Table 8 CS'!$A16,#REF!)</f>
        <v>#REF!</v>
      </c>
      <c r="U16" s="119" t="e">
        <f>SUMIF(#REF!,'Price Table 8 CS'!$A16,#REF!)</f>
        <v>#REF!</v>
      </c>
      <c r="V16" s="119" t="e">
        <f>SUMIF(#REF!,'Price Table 8 CS'!$A16,#REF!)</f>
        <v>#REF!</v>
      </c>
      <c r="W16" s="119" t="e">
        <f>SUMIF(#REF!,'Price Table 8 CS'!$A16,#REF!)</f>
        <v>#REF!</v>
      </c>
      <c r="X16" s="119" t="e">
        <f>SUMIF(#REF!,'Price Table 8 CS'!$A16,#REF!)</f>
        <v>#REF!</v>
      </c>
      <c r="Y16" s="119" t="e">
        <f>SUMIF(#REF!,'Price Table 8 CS'!$A16,#REF!)</f>
        <v>#REF!</v>
      </c>
      <c r="Z16" s="119" t="e">
        <f>SUMIF(#REF!,'Price Table 8 CS'!$A16,#REF!)</f>
        <v>#REF!</v>
      </c>
      <c r="AA16" s="119" t="e">
        <f>SUMIF(#REF!,'Price Table 8 CS'!$A16,#REF!)</f>
        <v>#REF!</v>
      </c>
      <c r="AB16" s="119" t="e">
        <f>SUMIF(#REF!,'Price Table 8 CS'!$A16,#REF!)</f>
        <v>#REF!</v>
      </c>
      <c r="AC16" s="119" t="e">
        <f>SUMIF(#REF!,'Price Table 8 CS'!$A16,#REF!)</f>
        <v>#REF!</v>
      </c>
      <c r="AD16" s="119" t="e">
        <f>SUMIF(#REF!,'Price Table 8 CS'!$A16,#REF!)</f>
        <v>#REF!</v>
      </c>
      <c r="AE16" s="119" t="e">
        <f>SUMIF(#REF!,'Price Table 8 CS'!$A16,#REF!)</f>
        <v>#REF!</v>
      </c>
      <c r="AF16" s="119" t="e">
        <f>SUMIF(#REF!,'Price Table 8 CS'!$A16,#REF!)</f>
        <v>#REF!</v>
      </c>
      <c r="AG16" s="119" t="e">
        <f>SUMIF(#REF!,'Price Table 8 CS'!$A16,#REF!)</f>
        <v>#REF!</v>
      </c>
      <c r="AH16" s="115" t="e">
        <f t="shared" si="0"/>
        <v>#REF!</v>
      </c>
      <c r="AI16" s="115" t="e">
        <f>SUMIF(#REF!,'Price Table 8 CS'!$A16,#REF!)</f>
        <v>#REF!</v>
      </c>
    </row>
    <row r="17" spans="1:36" s="16" customFormat="1">
      <c r="B17" s="45"/>
      <c r="C17" s="55"/>
      <c r="D17" s="56" t="s">
        <v>562</v>
      </c>
      <c r="E17" s="57"/>
      <c r="F17" s="57"/>
      <c r="G17" s="57"/>
      <c r="H17" s="17"/>
      <c r="AH17" s="390"/>
      <c r="AI17" s="390"/>
      <c r="AJ17" s="390"/>
    </row>
    <row r="18" spans="1:36">
      <c r="A18" t="s">
        <v>120</v>
      </c>
      <c r="B18" s="42" t="s">
        <v>563</v>
      </c>
      <c r="C18" s="43"/>
      <c r="D18" s="44"/>
      <c r="E18" s="36" t="s">
        <v>14</v>
      </c>
      <c r="F18" s="36" t="s">
        <v>13</v>
      </c>
      <c r="G18" s="36" t="str">
        <f>CONCATENATE(E18,F18)</f>
        <v>MISSIONManpower</v>
      </c>
      <c r="H18" s="94">
        <v>401000</v>
      </c>
      <c r="I18" s="117" t="s">
        <v>564</v>
      </c>
      <c r="J18" s="119" t="e">
        <f>SUMIF(#REF!,'Price Table 8 CS'!$A18,#REF!)</f>
        <v>#REF!</v>
      </c>
      <c r="K18" s="119" t="e">
        <f>SUMIF(#REF!,'Price Table 8 CS'!$A18,#REF!)</f>
        <v>#REF!</v>
      </c>
      <c r="L18" s="119" t="e">
        <f>SUMIF(#REF!,'Price Table 8 CS'!$A18,#REF!)</f>
        <v>#REF!</v>
      </c>
      <c r="M18" s="119" t="e">
        <f>SUMIF(#REF!,'Price Table 8 CS'!$A18,#REF!)</f>
        <v>#REF!</v>
      </c>
      <c r="N18" s="119" t="e">
        <f>SUMIF(#REF!,'Price Table 8 CS'!$A18,#REF!)</f>
        <v>#REF!</v>
      </c>
      <c r="O18" s="119" t="e">
        <f>SUMIF(#REF!,'Price Table 8 CS'!$A18,#REF!)</f>
        <v>#REF!</v>
      </c>
      <c r="P18" s="119" t="e">
        <f>SUMIF(#REF!,'Price Table 8 CS'!$A18,#REF!)</f>
        <v>#REF!</v>
      </c>
      <c r="Q18" s="119" t="e">
        <f>SUMIF(#REF!,'Price Table 8 CS'!$A18,#REF!)</f>
        <v>#REF!</v>
      </c>
      <c r="R18" s="119" t="e">
        <f>SUMIF(#REF!,'Price Table 8 CS'!$A18,#REF!)</f>
        <v>#REF!</v>
      </c>
      <c r="S18" s="119" t="e">
        <f>SUMIF(#REF!,'Price Table 8 CS'!$A18,#REF!)</f>
        <v>#REF!</v>
      </c>
      <c r="T18" s="119" t="e">
        <f>SUMIF(#REF!,'Price Table 8 CS'!$A18,#REF!)</f>
        <v>#REF!</v>
      </c>
      <c r="U18" s="119" t="e">
        <f>SUMIF(#REF!,'Price Table 8 CS'!$A18,#REF!)</f>
        <v>#REF!</v>
      </c>
      <c r="V18" s="119" t="e">
        <f>SUMIF(#REF!,'Price Table 8 CS'!$A18,#REF!)</f>
        <v>#REF!</v>
      </c>
      <c r="W18" s="119" t="e">
        <f>SUMIF(#REF!,'Price Table 8 CS'!$A18,#REF!)</f>
        <v>#REF!</v>
      </c>
      <c r="X18" s="119" t="e">
        <f>SUMIF(#REF!,'Price Table 8 CS'!$A18,#REF!)</f>
        <v>#REF!</v>
      </c>
      <c r="Y18" s="119" t="e">
        <f>SUMIF(#REF!,'Price Table 8 CS'!$A18,#REF!)</f>
        <v>#REF!</v>
      </c>
      <c r="Z18" s="119" t="e">
        <f>SUMIF(#REF!,'Price Table 8 CS'!$A18,#REF!)</f>
        <v>#REF!</v>
      </c>
      <c r="AA18" s="119" t="e">
        <f>SUMIF(#REF!,'Price Table 8 CS'!$A18,#REF!)</f>
        <v>#REF!</v>
      </c>
      <c r="AB18" s="119" t="e">
        <f>SUMIF(#REF!,'Price Table 8 CS'!$A18,#REF!)</f>
        <v>#REF!</v>
      </c>
      <c r="AC18" s="119" t="e">
        <f>SUMIF(#REF!,'Price Table 8 CS'!$A18,#REF!)</f>
        <v>#REF!</v>
      </c>
      <c r="AD18" s="119" t="e">
        <f>SUMIF(#REF!,'Price Table 8 CS'!$A18,#REF!)</f>
        <v>#REF!</v>
      </c>
      <c r="AE18" s="119" t="e">
        <f>SUMIF(#REF!,'Price Table 8 CS'!$A18,#REF!)</f>
        <v>#REF!</v>
      </c>
      <c r="AF18" s="119" t="e">
        <f>SUMIF(#REF!,'Price Table 8 CS'!$A18,#REF!)</f>
        <v>#REF!</v>
      </c>
      <c r="AG18" s="119" t="e">
        <f>SUMIF(#REF!,'Price Table 8 CS'!$A18,#REF!)</f>
        <v>#REF!</v>
      </c>
      <c r="AH18" s="115" t="e">
        <f t="shared" si="0"/>
        <v>#REF!</v>
      </c>
      <c r="AI18" s="115" t="e">
        <f>SUMIF(#REF!,'Price Table 8 CS'!$A18,#REF!)</f>
        <v>#REF!</v>
      </c>
    </row>
    <row r="19" spans="1:36">
      <c r="A19" t="s">
        <v>351</v>
      </c>
      <c r="B19" s="42" t="s">
        <v>565</v>
      </c>
      <c r="C19" s="43"/>
      <c r="D19" s="44"/>
      <c r="E19" s="36" t="s">
        <v>14</v>
      </c>
      <c r="F19" s="112" t="s">
        <v>13</v>
      </c>
      <c r="G19" s="36" t="str">
        <f>CONCATENATE(E19,F19)</f>
        <v>MISSIONManpower</v>
      </c>
      <c r="H19" s="94" t="s">
        <v>566</v>
      </c>
      <c r="I19" t="s">
        <v>567</v>
      </c>
      <c r="J19" s="119" t="e">
        <f>SUMIF(#REF!,'Price Table 8 CS'!$A19,#REF!)</f>
        <v>#REF!</v>
      </c>
      <c r="K19" s="119" t="e">
        <f>SUMIF(#REF!,'Price Table 8 CS'!$A19,#REF!)</f>
        <v>#REF!</v>
      </c>
      <c r="L19" s="119" t="e">
        <f>SUMIF(#REF!,'Price Table 8 CS'!$A19,#REF!)</f>
        <v>#REF!</v>
      </c>
      <c r="M19" s="119" t="e">
        <f>SUMIF(#REF!,'Price Table 8 CS'!$A19,#REF!)</f>
        <v>#REF!</v>
      </c>
      <c r="N19" s="119" t="e">
        <f>SUMIF(#REF!,'Price Table 8 CS'!$A19,#REF!)</f>
        <v>#REF!</v>
      </c>
      <c r="O19" s="119" t="e">
        <f>SUMIF(#REF!,'Price Table 8 CS'!$A19,#REF!)</f>
        <v>#REF!</v>
      </c>
      <c r="P19" s="119" t="e">
        <f>SUMIF(#REF!,'Price Table 8 CS'!$A19,#REF!)</f>
        <v>#REF!</v>
      </c>
      <c r="Q19" s="119" t="e">
        <f>SUMIF(#REF!,'Price Table 8 CS'!$A19,#REF!)</f>
        <v>#REF!</v>
      </c>
      <c r="R19" s="119" t="e">
        <f>SUMIF(#REF!,'Price Table 8 CS'!$A19,#REF!)</f>
        <v>#REF!</v>
      </c>
      <c r="S19" s="119" t="e">
        <f>SUMIF(#REF!,'Price Table 8 CS'!$A19,#REF!)</f>
        <v>#REF!</v>
      </c>
      <c r="T19" s="119" t="e">
        <f>SUMIF(#REF!,'Price Table 8 CS'!$A19,#REF!)</f>
        <v>#REF!</v>
      </c>
      <c r="U19" s="119" t="e">
        <f>SUMIF(#REF!,'Price Table 8 CS'!$A19,#REF!)</f>
        <v>#REF!</v>
      </c>
      <c r="V19" s="119" t="e">
        <f>SUMIF(#REF!,'Price Table 8 CS'!$A19,#REF!)</f>
        <v>#REF!</v>
      </c>
      <c r="W19" s="119" t="e">
        <f>SUMIF(#REF!,'Price Table 8 CS'!$A19,#REF!)</f>
        <v>#REF!</v>
      </c>
      <c r="X19" s="119" t="e">
        <f>SUMIF(#REF!,'Price Table 8 CS'!$A19,#REF!)</f>
        <v>#REF!</v>
      </c>
      <c r="Y19" s="119" t="e">
        <f>SUMIF(#REF!,'Price Table 8 CS'!$A19,#REF!)</f>
        <v>#REF!</v>
      </c>
      <c r="Z19" s="119" t="e">
        <f>SUMIF(#REF!,'Price Table 8 CS'!$A19,#REF!)</f>
        <v>#REF!</v>
      </c>
      <c r="AA19" s="119" t="e">
        <f>SUMIF(#REF!,'Price Table 8 CS'!$A19,#REF!)</f>
        <v>#REF!</v>
      </c>
      <c r="AB19" s="119" t="e">
        <f>SUMIF(#REF!,'Price Table 8 CS'!$A19,#REF!)</f>
        <v>#REF!</v>
      </c>
      <c r="AC19" s="119" t="e">
        <f>SUMIF(#REF!,'Price Table 8 CS'!$A19,#REF!)</f>
        <v>#REF!</v>
      </c>
      <c r="AD19" s="119" t="e">
        <f>SUMIF(#REF!,'Price Table 8 CS'!$A19,#REF!)</f>
        <v>#REF!</v>
      </c>
      <c r="AE19" s="119" t="e">
        <f>SUMIF(#REF!,'Price Table 8 CS'!$A19,#REF!)</f>
        <v>#REF!</v>
      </c>
      <c r="AF19" s="119" t="e">
        <f>SUMIF(#REF!,'Price Table 8 CS'!$A19,#REF!)</f>
        <v>#REF!</v>
      </c>
      <c r="AG19" s="119" t="e">
        <f>SUMIF(#REF!,'Price Table 8 CS'!$A19,#REF!)</f>
        <v>#REF!</v>
      </c>
      <c r="AH19" s="115" t="e">
        <f t="shared" si="0"/>
        <v>#REF!</v>
      </c>
      <c r="AI19" s="115" t="e">
        <f>SUMIF(#REF!,'Price Table 8 CS'!$A19,#REF!)</f>
        <v>#REF!</v>
      </c>
    </row>
    <row r="20" spans="1:36">
      <c r="A20" t="s">
        <v>356</v>
      </c>
      <c r="B20" s="42" t="s">
        <v>568</v>
      </c>
      <c r="C20" s="43"/>
      <c r="D20" s="44"/>
      <c r="E20" s="36" t="s">
        <v>14</v>
      </c>
      <c r="F20" s="36" t="s">
        <v>117</v>
      </c>
      <c r="G20" s="36" t="str">
        <f>CONCATENATE(E20,F20)</f>
        <v>MISSIONProcurement</v>
      </c>
      <c r="H20" s="60">
        <v>510000</v>
      </c>
      <c r="I20" t="s">
        <v>569</v>
      </c>
      <c r="J20" s="119" t="e">
        <f>SUMIF(#REF!,'Price Table 8 CS'!$A20,#REF!)</f>
        <v>#REF!</v>
      </c>
      <c r="K20" s="119" t="e">
        <f>SUMIF(#REF!,'Price Table 8 CS'!$A20,#REF!)</f>
        <v>#REF!</v>
      </c>
      <c r="L20" s="119" t="e">
        <f>SUMIF(#REF!,'Price Table 8 CS'!$A20,#REF!)</f>
        <v>#REF!</v>
      </c>
      <c r="M20" s="119" t="e">
        <f>SUMIF(#REF!,'Price Table 8 CS'!$A20,#REF!)</f>
        <v>#REF!</v>
      </c>
      <c r="N20" s="119" t="e">
        <f>SUMIF(#REF!,'Price Table 8 CS'!$A20,#REF!)</f>
        <v>#REF!</v>
      </c>
      <c r="O20" s="119" t="e">
        <f>SUMIF(#REF!,'Price Table 8 CS'!$A20,#REF!)</f>
        <v>#REF!</v>
      </c>
      <c r="P20" s="119" t="e">
        <f>SUMIF(#REF!,'Price Table 8 CS'!$A20,#REF!)</f>
        <v>#REF!</v>
      </c>
      <c r="Q20" s="119" t="e">
        <f>SUMIF(#REF!,'Price Table 8 CS'!$A20,#REF!)</f>
        <v>#REF!</v>
      </c>
      <c r="R20" s="119" t="e">
        <f>SUMIF(#REF!,'Price Table 8 CS'!$A20,#REF!)</f>
        <v>#REF!</v>
      </c>
      <c r="S20" s="119" t="e">
        <f>SUMIF(#REF!,'Price Table 8 CS'!$A20,#REF!)</f>
        <v>#REF!</v>
      </c>
      <c r="T20" s="119" t="e">
        <f>SUMIF(#REF!,'Price Table 8 CS'!$A20,#REF!)</f>
        <v>#REF!</v>
      </c>
      <c r="U20" s="119" t="e">
        <f>SUMIF(#REF!,'Price Table 8 CS'!$A20,#REF!)</f>
        <v>#REF!</v>
      </c>
      <c r="V20" s="119" t="e">
        <f>SUMIF(#REF!,'Price Table 8 CS'!$A20,#REF!)</f>
        <v>#REF!</v>
      </c>
      <c r="W20" s="119" t="e">
        <f>SUMIF(#REF!,'Price Table 8 CS'!$A20,#REF!)</f>
        <v>#REF!</v>
      </c>
      <c r="X20" s="119" t="e">
        <f>SUMIF(#REF!,'Price Table 8 CS'!$A20,#REF!)</f>
        <v>#REF!</v>
      </c>
      <c r="Y20" s="119" t="e">
        <f>SUMIF(#REF!,'Price Table 8 CS'!$A20,#REF!)</f>
        <v>#REF!</v>
      </c>
      <c r="Z20" s="119" t="e">
        <f>SUMIF(#REF!,'Price Table 8 CS'!$A20,#REF!)</f>
        <v>#REF!</v>
      </c>
      <c r="AA20" s="119" t="e">
        <f>SUMIF(#REF!,'Price Table 8 CS'!$A20,#REF!)</f>
        <v>#REF!</v>
      </c>
      <c r="AB20" s="119" t="e">
        <f>SUMIF(#REF!,'Price Table 8 CS'!$A20,#REF!)</f>
        <v>#REF!</v>
      </c>
      <c r="AC20" s="119" t="e">
        <f>SUMIF(#REF!,'Price Table 8 CS'!$A20,#REF!)</f>
        <v>#REF!</v>
      </c>
      <c r="AD20" s="119" t="e">
        <f>SUMIF(#REF!,'Price Table 8 CS'!$A20,#REF!)</f>
        <v>#REF!</v>
      </c>
      <c r="AE20" s="119" t="e">
        <f>SUMIF(#REF!,'Price Table 8 CS'!$A20,#REF!)</f>
        <v>#REF!</v>
      </c>
      <c r="AF20" s="119" t="e">
        <f>SUMIF(#REF!,'Price Table 8 CS'!$A20,#REF!)</f>
        <v>#REF!</v>
      </c>
      <c r="AG20" s="119" t="e">
        <f>SUMIF(#REF!,'Price Table 8 CS'!$A20,#REF!)</f>
        <v>#REF!</v>
      </c>
      <c r="AH20" s="115" t="e">
        <f t="shared" si="0"/>
        <v>#REF!</v>
      </c>
      <c r="AI20" s="115" t="e">
        <f>SUMIF(#REF!,'Price Table 8 CS'!$A20,#REF!)</f>
        <v>#REF!</v>
      </c>
    </row>
    <row r="21" spans="1:36" s="16" customFormat="1">
      <c r="B21" s="45"/>
      <c r="C21" s="55"/>
      <c r="D21" s="56" t="s">
        <v>562</v>
      </c>
      <c r="E21" s="57"/>
      <c r="F21" s="57"/>
      <c r="G21" s="57"/>
      <c r="H21" s="17"/>
      <c r="AH21" s="390"/>
      <c r="AI21" s="390"/>
      <c r="AJ21" s="390"/>
    </row>
    <row r="22" spans="1:36">
      <c r="B22" s="46" t="s">
        <v>570</v>
      </c>
      <c r="C22" s="47"/>
      <c r="D22" s="41"/>
      <c r="H22"/>
    </row>
    <row r="23" spans="1:36">
      <c r="B23" s="48" t="s">
        <v>571</v>
      </c>
      <c r="C23" s="49"/>
      <c r="D23" s="50"/>
      <c r="H23"/>
    </row>
    <row r="24" spans="1:36">
      <c r="A24" t="s">
        <v>160</v>
      </c>
      <c r="B24" s="51" t="s">
        <v>572</v>
      </c>
      <c r="C24" s="43"/>
      <c r="D24" s="44"/>
      <c r="E24" s="36" t="s">
        <v>139</v>
      </c>
      <c r="F24" s="36" t="s">
        <v>13</v>
      </c>
      <c r="G24" s="36" t="str">
        <f>CONCATENATE(E24,F24)</f>
        <v>TECHManpower</v>
      </c>
      <c r="H24" s="16">
        <v>410000</v>
      </c>
      <c r="J24" s="119" t="e">
        <f>SUMIF(#REF!,'Price Table 8 CS'!$A24,#REF!)</f>
        <v>#REF!</v>
      </c>
      <c r="K24" s="119" t="e">
        <f>SUMIF(#REF!,'Price Table 8 CS'!$A24,#REF!)</f>
        <v>#REF!</v>
      </c>
      <c r="L24" s="119" t="e">
        <f>SUMIF(#REF!,'Price Table 8 CS'!$A24,#REF!)</f>
        <v>#REF!</v>
      </c>
      <c r="M24" s="119" t="e">
        <f>SUMIF(#REF!,'Price Table 8 CS'!$A24,#REF!)</f>
        <v>#REF!</v>
      </c>
      <c r="N24" s="119" t="e">
        <f>SUMIF(#REF!,'Price Table 8 CS'!$A24,#REF!)</f>
        <v>#REF!</v>
      </c>
      <c r="O24" s="119" t="e">
        <f>SUMIF(#REF!,'Price Table 8 CS'!$A24,#REF!)</f>
        <v>#REF!</v>
      </c>
      <c r="P24" s="119" t="e">
        <f>SUMIF(#REF!,'Price Table 8 CS'!$A24,#REF!)</f>
        <v>#REF!</v>
      </c>
      <c r="Q24" s="119" t="e">
        <f>SUMIF(#REF!,'Price Table 8 CS'!$A24,#REF!)</f>
        <v>#REF!</v>
      </c>
      <c r="R24" s="119" t="e">
        <f>SUMIF(#REF!,'Price Table 8 CS'!$A24,#REF!)</f>
        <v>#REF!</v>
      </c>
      <c r="S24" s="119" t="e">
        <f>SUMIF(#REF!,'Price Table 8 CS'!$A24,#REF!)</f>
        <v>#REF!</v>
      </c>
      <c r="T24" s="119" t="e">
        <f>SUMIF(#REF!,'Price Table 8 CS'!$A24,#REF!)</f>
        <v>#REF!</v>
      </c>
      <c r="U24" s="119" t="e">
        <f>SUMIF(#REF!,'Price Table 8 CS'!$A24,#REF!)</f>
        <v>#REF!</v>
      </c>
      <c r="V24" s="119" t="e">
        <f>SUMIF(#REF!,'Price Table 8 CS'!$A24,#REF!)</f>
        <v>#REF!</v>
      </c>
      <c r="W24" s="119" t="e">
        <f>SUMIF(#REF!,'Price Table 8 CS'!$A24,#REF!)</f>
        <v>#REF!</v>
      </c>
      <c r="X24" s="119" t="e">
        <f>SUMIF(#REF!,'Price Table 8 CS'!$A24,#REF!)</f>
        <v>#REF!</v>
      </c>
      <c r="Y24" s="119" t="e">
        <f>SUMIF(#REF!,'Price Table 8 CS'!$A24,#REF!)</f>
        <v>#REF!</v>
      </c>
      <c r="Z24" s="119" t="e">
        <f>SUMIF(#REF!,'Price Table 8 CS'!$A24,#REF!)</f>
        <v>#REF!</v>
      </c>
      <c r="AA24" s="119" t="e">
        <f>SUMIF(#REF!,'Price Table 8 CS'!$A24,#REF!)</f>
        <v>#REF!</v>
      </c>
      <c r="AB24" s="119" t="e">
        <f>SUMIF(#REF!,'Price Table 8 CS'!$A24,#REF!)</f>
        <v>#REF!</v>
      </c>
      <c r="AC24" s="119" t="e">
        <f>SUMIF(#REF!,'Price Table 8 CS'!$A24,#REF!)</f>
        <v>#REF!</v>
      </c>
      <c r="AD24" s="119" t="e">
        <f>SUMIF(#REF!,'Price Table 8 CS'!$A24,#REF!)</f>
        <v>#REF!</v>
      </c>
      <c r="AE24" s="119" t="e">
        <f>SUMIF(#REF!,'Price Table 8 CS'!$A24,#REF!)</f>
        <v>#REF!</v>
      </c>
      <c r="AF24" s="119" t="e">
        <f>SUMIF(#REF!,'Price Table 8 CS'!$A24,#REF!)</f>
        <v>#REF!</v>
      </c>
      <c r="AG24" s="119" t="e">
        <f>SUMIF(#REF!,'Price Table 8 CS'!$A24,#REF!)</f>
        <v>#REF!</v>
      </c>
      <c r="AH24" s="115" t="e">
        <f t="shared" si="0"/>
        <v>#REF!</v>
      </c>
      <c r="AI24" s="115" t="e">
        <f>SUMIF(#REF!,'Price Table 8 CS'!$A24,#REF!)</f>
        <v>#REF!</v>
      </c>
    </row>
    <row r="25" spans="1:36">
      <c r="A25" t="s">
        <v>573</v>
      </c>
      <c r="B25" s="51" t="s">
        <v>574</v>
      </c>
      <c r="C25" s="43"/>
      <c r="D25" s="44"/>
      <c r="E25" s="36" t="s">
        <v>14</v>
      </c>
      <c r="F25" s="36" t="s">
        <v>13</v>
      </c>
      <c r="G25" s="36" t="str">
        <f>CONCATENATE(E25,F25)</f>
        <v>MISSIONManpower</v>
      </c>
      <c r="H25" s="17"/>
      <c r="J25" s="119" t="e">
        <f>SUMIF(#REF!,'Price Table 8 CS'!$A25,#REF!)</f>
        <v>#REF!</v>
      </c>
      <c r="K25" s="119" t="e">
        <f>SUMIF(#REF!,'Price Table 8 CS'!$A25,#REF!)</f>
        <v>#REF!</v>
      </c>
      <c r="L25" s="119" t="e">
        <f>SUMIF(#REF!,'Price Table 8 CS'!$A25,#REF!)</f>
        <v>#REF!</v>
      </c>
      <c r="M25" s="119" t="e">
        <f>SUMIF(#REF!,'Price Table 8 CS'!$A25,#REF!)</f>
        <v>#REF!</v>
      </c>
      <c r="N25" s="119" t="e">
        <f>SUMIF(#REF!,'Price Table 8 CS'!$A25,#REF!)</f>
        <v>#REF!</v>
      </c>
      <c r="O25" s="119" t="e">
        <f>SUMIF(#REF!,'Price Table 8 CS'!$A25,#REF!)</f>
        <v>#REF!</v>
      </c>
      <c r="P25" s="119" t="e">
        <f>SUMIF(#REF!,'Price Table 8 CS'!$A25,#REF!)</f>
        <v>#REF!</v>
      </c>
      <c r="Q25" s="119" t="e">
        <f>SUMIF(#REF!,'Price Table 8 CS'!$A25,#REF!)</f>
        <v>#REF!</v>
      </c>
      <c r="R25" s="119" t="e">
        <f>SUMIF(#REF!,'Price Table 8 CS'!$A25,#REF!)</f>
        <v>#REF!</v>
      </c>
      <c r="S25" s="119" t="e">
        <f>SUMIF(#REF!,'Price Table 8 CS'!$A25,#REF!)</f>
        <v>#REF!</v>
      </c>
      <c r="T25" s="119" t="e">
        <f>SUMIF(#REF!,'Price Table 8 CS'!$A25,#REF!)</f>
        <v>#REF!</v>
      </c>
      <c r="U25" s="119" t="e">
        <f>SUMIF(#REF!,'Price Table 8 CS'!$A25,#REF!)</f>
        <v>#REF!</v>
      </c>
      <c r="V25" s="119" t="e">
        <f>SUMIF(#REF!,'Price Table 8 CS'!$A25,#REF!)</f>
        <v>#REF!</v>
      </c>
      <c r="W25" s="119" t="e">
        <f>SUMIF(#REF!,'Price Table 8 CS'!$A25,#REF!)</f>
        <v>#REF!</v>
      </c>
      <c r="X25" s="119" t="e">
        <f>SUMIF(#REF!,'Price Table 8 CS'!$A25,#REF!)</f>
        <v>#REF!</v>
      </c>
      <c r="Y25" s="119" t="e">
        <f>SUMIF(#REF!,'Price Table 8 CS'!$A25,#REF!)</f>
        <v>#REF!</v>
      </c>
      <c r="Z25" s="119" t="e">
        <f>SUMIF(#REF!,'Price Table 8 CS'!$A25,#REF!)</f>
        <v>#REF!</v>
      </c>
      <c r="AA25" s="119" t="e">
        <f>SUMIF(#REF!,'Price Table 8 CS'!$A25,#REF!)</f>
        <v>#REF!</v>
      </c>
      <c r="AB25" s="119" t="e">
        <f>SUMIF(#REF!,'Price Table 8 CS'!$A25,#REF!)</f>
        <v>#REF!</v>
      </c>
      <c r="AC25" s="119" t="e">
        <f>SUMIF(#REF!,'Price Table 8 CS'!$A25,#REF!)</f>
        <v>#REF!</v>
      </c>
      <c r="AD25" s="119" t="e">
        <f>SUMIF(#REF!,'Price Table 8 CS'!$A25,#REF!)</f>
        <v>#REF!</v>
      </c>
      <c r="AE25" s="119" t="e">
        <f>SUMIF(#REF!,'Price Table 8 CS'!$A25,#REF!)</f>
        <v>#REF!</v>
      </c>
      <c r="AF25" s="119" t="e">
        <f>SUMIF(#REF!,'Price Table 8 CS'!$A25,#REF!)</f>
        <v>#REF!</v>
      </c>
      <c r="AG25" s="119" t="e">
        <f>SUMIF(#REF!,'Price Table 8 CS'!$A25,#REF!)</f>
        <v>#REF!</v>
      </c>
      <c r="AH25" s="115" t="e">
        <f t="shared" si="0"/>
        <v>#REF!</v>
      </c>
      <c r="AI25" s="115" t="e">
        <f>SUMIF(#REF!,'Price Table 8 CS'!$A25,#REF!)</f>
        <v>#REF!</v>
      </c>
    </row>
    <row r="26" spans="1:36" s="16" customFormat="1">
      <c r="B26" s="45"/>
      <c r="C26" s="55"/>
      <c r="D26" s="56" t="s">
        <v>562</v>
      </c>
      <c r="E26" s="57"/>
      <c r="F26" s="57"/>
      <c r="G26" s="57"/>
      <c r="H26" s="17"/>
      <c r="AH26" s="390"/>
      <c r="AI26" s="390"/>
      <c r="AJ26" s="390"/>
    </row>
    <row r="27" spans="1:36">
      <c r="B27" s="48" t="s">
        <v>575</v>
      </c>
      <c r="C27" s="52"/>
      <c r="D27" s="50"/>
      <c r="H27"/>
      <c r="AH27" s="403"/>
      <c r="AI27" s="403"/>
      <c r="AJ27" s="403"/>
    </row>
    <row r="28" spans="1:36">
      <c r="A28" t="s">
        <v>180</v>
      </c>
      <c r="B28" s="51" t="s">
        <v>576</v>
      </c>
      <c r="C28" s="53"/>
      <c r="D28" s="44"/>
      <c r="E28" s="37" t="s">
        <v>14</v>
      </c>
      <c r="F28" s="36" t="s">
        <v>13</v>
      </c>
      <c r="G28" s="36" t="str">
        <f>CONCATENATE(E28,F28)</f>
        <v>MISSIONManpower</v>
      </c>
      <c r="H28" s="61">
        <v>430000</v>
      </c>
      <c r="I28" s="74" t="s">
        <v>577</v>
      </c>
      <c r="J28" s="119" t="e">
        <f>SUMIF(#REF!,'Price Table 8 CS'!$A28,#REF!)</f>
        <v>#REF!</v>
      </c>
      <c r="K28" s="119" t="e">
        <f>SUMIF(#REF!,'Price Table 8 CS'!$A28,#REF!)</f>
        <v>#REF!</v>
      </c>
      <c r="L28" s="119" t="e">
        <f>SUMIF(#REF!,'Price Table 8 CS'!$A28,#REF!)</f>
        <v>#REF!</v>
      </c>
      <c r="M28" s="119" t="e">
        <f>SUMIF(#REF!,'Price Table 8 CS'!$A28,#REF!)</f>
        <v>#REF!</v>
      </c>
      <c r="N28" s="119" t="e">
        <f>SUMIF(#REF!,'Price Table 8 CS'!$A28,#REF!)</f>
        <v>#REF!</v>
      </c>
      <c r="O28" s="119" t="e">
        <f>SUMIF(#REF!,'Price Table 8 CS'!$A28,#REF!)</f>
        <v>#REF!</v>
      </c>
      <c r="P28" s="119" t="e">
        <f>SUMIF(#REF!,'Price Table 8 CS'!$A28,#REF!)</f>
        <v>#REF!</v>
      </c>
      <c r="Q28" s="119" t="e">
        <f>SUMIF(#REF!,'Price Table 8 CS'!$A28,#REF!)</f>
        <v>#REF!</v>
      </c>
      <c r="R28" s="119" t="e">
        <f>SUMIF(#REF!,'Price Table 8 CS'!$A28,#REF!)</f>
        <v>#REF!</v>
      </c>
      <c r="S28" s="119" t="e">
        <f>SUMIF(#REF!,'Price Table 8 CS'!$A28,#REF!)</f>
        <v>#REF!</v>
      </c>
      <c r="T28" s="119" t="e">
        <f>SUMIF(#REF!,'Price Table 8 CS'!$A28,#REF!)</f>
        <v>#REF!</v>
      </c>
      <c r="U28" s="119" t="e">
        <f>SUMIF(#REF!,'Price Table 8 CS'!$A28,#REF!)</f>
        <v>#REF!</v>
      </c>
      <c r="V28" s="119" t="e">
        <f>SUMIF(#REF!,'Price Table 8 CS'!$A28,#REF!)</f>
        <v>#REF!</v>
      </c>
      <c r="W28" s="119" t="e">
        <f>SUMIF(#REF!,'Price Table 8 CS'!$A28,#REF!)</f>
        <v>#REF!</v>
      </c>
      <c r="X28" s="119" t="e">
        <f>SUMIF(#REF!,'Price Table 8 CS'!$A28,#REF!)</f>
        <v>#REF!</v>
      </c>
      <c r="Y28" s="119" t="e">
        <f>SUMIF(#REF!,'Price Table 8 CS'!$A28,#REF!)</f>
        <v>#REF!</v>
      </c>
      <c r="Z28" s="119" t="e">
        <f>SUMIF(#REF!,'Price Table 8 CS'!$A28,#REF!)</f>
        <v>#REF!</v>
      </c>
      <c r="AA28" s="119" t="e">
        <f>SUMIF(#REF!,'Price Table 8 CS'!$A28,#REF!)</f>
        <v>#REF!</v>
      </c>
      <c r="AB28" s="119" t="e">
        <f>SUMIF(#REF!,'Price Table 8 CS'!$A28,#REF!)</f>
        <v>#REF!</v>
      </c>
      <c r="AC28" s="119" t="e">
        <f>SUMIF(#REF!,'Price Table 8 CS'!$A28,#REF!)</f>
        <v>#REF!</v>
      </c>
      <c r="AD28" s="119" t="e">
        <f>SUMIF(#REF!,'Price Table 8 CS'!$A28,#REF!)</f>
        <v>#REF!</v>
      </c>
      <c r="AE28" s="119" t="e">
        <f>SUMIF(#REF!,'Price Table 8 CS'!$A28,#REF!)</f>
        <v>#REF!</v>
      </c>
      <c r="AF28" s="119" t="e">
        <f>SUMIF(#REF!,'Price Table 8 CS'!$A28,#REF!)</f>
        <v>#REF!</v>
      </c>
      <c r="AG28" s="119" t="e">
        <f>SUMIF(#REF!,'Price Table 8 CS'!$A28,#REF!)</f>
        <v>#REF!</v>
      </c>
      <c r="AH28" s="115" t="e">
        <f t="shared" si="0"/>
        <v>#REF!</v>
      </c>
      <c r="AI28" s="115" t="e">
        <f>SUMIF(#REF!,'Price Table 8 CS'!$A28,#REF!)</f>
        <v>#REF!</v>
      </c>
    </row>
    <row r="29" spans="1:36">
      <c r="A29" t="s">
        <v>578</v>
      </c>
      <c r="B29" s="51" t="s">
        <v>579</v>
      </c>
      <c r="C29" s="53"/>
      <c r="D29" s="44"/>
      <c r="E29" s="37" t="s">
        <v>14</v>
      </c>
      <c r="F29" s="36" t="s">
        <v>117</v>
      </c>
      <c r="G29" s="36" t="str">
        <f>CONCATENATE(E29,F29)</f>
        <v>MISSIONProcurement</v>
      </c>
      <c r="H29" s="16">
        <v>430000</v>
      </c>
      <c r="I29" s="74" t="s">
        <v>577</v>
      </c>
      <c r="J29" s="119" t="e">
        <f>SUMIF(#REF!,'Price Table 8 CS'!$A29,#REF!)</f>
        <v>#REF!</v>
      </c>
      <c r="K29" s="119" t="e">
        <f>SUMIF(#REF!,'Price Table 8 CS'!$A29,#REF!)</f>
        <v>#REF!</v>
      </c>
      <c r="L29" s="119" t="e">
        <f>SUMIF(#REF!,'Price Table 8 CS'!$A29,#REF!)</f>
        <v>#REF!</v>
      </c>
      <c r="M29" s="119" t="e">
        <f>SUMIF(#REF!,'Price Table 8 CS'!$A29,#REF!)</f>
        <v>#REF!</v>
      </c>
      <c r="N29" s="119" t="e">
        <f>SUMIF(#REF!,'Price Table 8 CS'!$A29,#REF!)</f>
        <v>#REF!</v>
      </c>
      <c r="O29" s="119" t="e">
        <f>SUMIF(#REF!,'Price Table 8 CS'!$A29,#REF!)</f>
        <v>#REF!</v>
      </c>
      <c r="P29" s="119" t="e">
        <f>SUMIF(#REF!,'Price Table 8 CS'!$A29,#REF!)</f>
        <v>#REF!</v>
      </c>
      <c r="Q29" s="119" t="e">
        <f>SUMIF(#REF!,'Price Table 8 CS'!$A29,#REF!)</f>
        <v>#REF!</v>
      </c>
      <c r="R29" s="119" t="e">
        <f>SUMIF(#REF!,'Price Table 8 CS'!$A29,#REF!)</f>
        <v>#REF!</v>
      </c>
      <c r="S29" s="119" t="e">
        <f>SUMIF(#REF!,'Price Table 8 CS'!$A29,#REF!)</f>
        <v>#REF!</v>
      </c>
      <c r="T29" s="119" t="e">
        <f>SUMIF(#REF!,'Price Table 8 CS'!$A29,#REF!)</f>
        <v>#REF!</v>
      </c>
      <c r="U29" s="119" t="e">
        <f>SUMIF(#REF!,'Price Table 8 CS'!$A29,#REF!)</f>
        <v>#REF!</v>
      </c>
      <c r="V29" s="119" t="e">
        <f>SUMIF(#REF!,'Price Table 8 CS'!$A29,#REF!)</f>
        <v>#REF!</v>
      </c>
      <c r="W29" s="119" t="e">
        <f>SUMIF(#REF!,'Price Table 8 CS'!$A29,#REF!)</f>
        <v>#REF!</v>
      </c>
      <c r="X29" s="119" t="e">
        <f>SUMIF(#REF!,'Price Table 8 CS'!$A29,#REF!)</f>
        <v>#REF!</v>
      </c>
      <c r="Y29" s="119" t="e">
        <f>SUMIF(#REF!,'Price Table 8 CS'!$A29,#REF!)</f>
        <v>#REF!</v>
      </c>
      <c r="Z29" s="119" t="e">
        <f>SUMIF(#REF!,'Price Table 8 CS'!$A29,#REF!)</f>
        <v>#REF!</v>
      </c>
      <c r="AA29" s="119" t="e">
        <f>SUMIF(#REF!,'Price Table 8 CS'!$A29,#REF!)</f>
        <v>#REF!</v>
      </c>
      <c r="AB29" s="119" t="e">
        <f>SUMIF(#REF!,'Price Table 8 CS'!$A29,#REF!)</f>
        <v>#REF!</v>
      </c>
      <c r="AC29" s="119" t="e">
        <f>SUMIF(#REF!,'Price Table 8 CS'!$A29,#REF!)</f>
        <v>#REF!</v>
      </c>
      <c r="AD29" s="119" t="e">
        <f>SUMIF(#REF!,'Price Table 8 CS'!$A29,#REF!)</f>
        <v>#REF!</v>
      </c>
      <c r="AE29" s="119" t="e">
        <f>SUMIF(#REF!,'Price Table 8 CS'!$A29,#REF!)</f>
        <v>#REF!</v>
      </c>
      <c r="AF29" s="119" t="e">
        <f>SUMIF(#REF!,'Price Table 8 CS'!$A29,#REF!)</f>
        <v>#REF!</v>
      </c>
      <c r="AG29" s="119" t="e">
        <f>SUMIF(#REF!,'Price Table 8 CS'!$A29,#REF!)</f>
        <v>#REF!</v>
      </c>
      <c r="AH29" s="115" t="e">
        <f t="shared" si="0"/>
        <v>#REF!</v>
      </c>
      <c r="AI29" s="115" t="e">
        <f>SUMIF(#REF!,'Price Table 8 CS'!$A29,#REF!)</f>
        <v>#REF!</v>
      </c>
    </row>
    <row r="30" spans="1:36" s="16" customFormat="1">
      <c r="B30" s="45"/>
      <c r="C30" s="55"/>
      <c r="D30" s="56" t="s">
        <v>562</v>
      </c>
      <c r="E30" s="57"/>
      <c r="F30" s="57"/>
      <c r="G30" s="57"/>
      <c r="H30" s="17"/>
      <c r="AH30" s="402"/>
      <c r="AI30" s="402"/>
      <c r="AJ30" s="402"/>
    </row>
    <row r="31" spans="1:36">
      <c r="B31" s="48" t="s">
        <v>580</v>
      </c>
      <c r="C31" s="52"/>
      <c r="D31" s="50"/>
      <c r="E31" s="37"/>
      <c r="F31" s="37"/>
      <c r="G31" s="37"/>
      <c r="H31" s="62"/>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404"/>
      <c r="AI31" s="404"/>
      <c r="AJ31" s="404"/>
    </row>
    <row r="32" spans="1:36">
      <c r="A32" t="s">
        <v>173</v>
      </c>
      <c r="B32" s="51" t="s">
        <v>581</v>
      </c>
      <c r="C32" s="53"/>
      <c r="D32" s="44"/>
      <c r="E32" s="37" t="s">
        <v>14</v>
      </c>
      <c r="F32" s="36" t="s">
        <v>13</v>
      </c>
      <c r="G32" s="36" t="str">
        <f>CONCATENATE(E32,F32)</f>
        <v>MISSIONManpower</v>
      </c>
      <c r="H32" s="61">
        <v>420000</v>
      </c>
      <c r="I32" s="74" t="s">
        <v>577</v>
      </c>
      <c r="J32" s="119" t="e">
        <f>SUMIF(#REF!,'Price Table 8 CS'!$A32,#REF!)</f>
        <v>#REF!</v>
      </c>
      <c r="K32" s="119" t="e">
        <f>SUMIF(#REF!,'Price Table 8 CS'!$A32,#REF!)</f>
        <v>#REF!</v>
      </c>
      <c r="L32" s="119" t="e">
        <f>SUMIF(#REF!,'Price Table 8 CS'!$A32,#REF!)</f>
        <v>#REF!</v>
      </c>
      <c r="M32" s="119" t="e">
        <f>SUMIF(#REF!,'Price Table 8 CS'!$A32,#REF!)</f>
        <v>#REF!</v>
      </c>
      <c r="N32" s="119" t="e">
        <f>SUMIF(#REF!,'Price Table 8 CS'!$A32,#REF!)</f>
        <v>#REF!</v>
      </c>
      <c r="O32" s="119" t="e">
        <f>SUMIF(#REF!,'Price Table 8 CS'!$A32,#REF!)</f>
        <v>#REF!</v>
      </c>
      <c r="P32" s="119" t="e">
        <f>SUMIF(#REF!,'Price Table 8 CS'!$A32,#REF!)</f>
        <v>#REF!</v>
      </c>
      <c r="Q32" s="119" t="e">
        <f>SUMIF(#REF!,'Price Table 8 CS'!$A32,#REF!)</f>
        <v>#REF!</v>
      </c>
      <c r="R32" s="119" t="e">
        <f>SUMIF(#REF!,'Price Table 8 CS'!$A32,#REF!)</f>
        <v>#REF!</v>
      </c>
      <c r="S32" s="119" t="e">
        <f>SUMIF(#REF!,'Price Table 8 CS'!$A32,#REF!)</f>
        <v>#REF!</v>
      </c>
      <c r="T32" s="119" t="e">
        <f>SUMIF(#REF!,'Price Table 8 CS'!$A32,#REF!)</f>
        <v>#REF!</v>
      </c>
      <c r="U32" s="119" t="e">
        <f>SUMIF(#REF!,'Price Table 8 CS'!$A32,#REF!)</f>
        <v>#REF!</v>
      </c>
      <c r="V32" s="119" t="e">
        <f>SUMIF(#REF!,'Price Table 8 CS'!$A32,#REF!)</f>
        <v>#REF!</v>
      </c>
      <c r="W32" s="119" t="e">
        <f>SUMIF(#REF!,'Price Table 8 CS'!$A32,#REF!)</f>
        <v>#REF!</v>
      </c>
      <c r="X32" s="119" t="e">
        <f>SUMIF(#REF!,'Price Table 8 CS'!$A32,#REF!)</f>
        <v>#REF!</v>
      </c>
      <c r="Y32" s="119" t="e">
        <f>SUMIF(#REF!,'Price Table 8 CS'!$A32,#REF!)</f>
        <v>#REF!</v>
      </c>
      <c r="Z32" s="119" t="e">
        <f>SUMIF(#REF!,'Price Table 8 CS'!$A32,#REF!)</f>
        <v>#REF!</v>
      </c>
      <c r="AA32" s="119" t="e">
        <f>SUMIF(#REF!,'Price Table 8 CS'!$A32,#REF!)</f>
        <v>#REF!</v>
      </c>
      <c r="AB32" s="119" t="e">
        <f>SUMIF(#REF!,'Price Table 8 CS'!$A32,#REF!)</f>
        <v>#REF!</v>
      </c>
      <c r="AC32" s="119" t="e">
        <f>SUMIF(#REF!,'Price Table 8 CS'!$A32,#REF!)</f>
        <v>#REF!</v>
      </c>
      <c r="AD32" s="119" t="e">
        <f>SUMIF(#REF!,'Price Table 8 CS'!$A32,#REF!)</f>
        <v>#REF!</v>
      </c>
      <c r="AE32" s="119" t="e">
        <f>SUMIF(#REF!,'Price Table 8 CS'!$A32,#REF!)</f>
        <v>#REF!</v>
      </c>
      <c r="AF32" s="119" t="e">
        <f>SUMIF(#REF!,'Price Table 8 CS'!$A32,#REF!)</f>
        <v>#REF!</v>
      </c>
      <c r="AG32" s="119" t="e">
        <f>SUMIF(#REF!,'Price Table 8 CS'!$A32,#REF!)</f>
        <v>#REF!</v>
      </c>
      <c r="AH32" s="115" t="e">
        <f t="shared" si="0"/>
        <v>#REF!</v>
      </c>
      <c r="AI32" s="115" t="e">
        <f>SUMIF(#REF!,'Price Table 8 CS'!$A32,#REF!)</f>
        <v>#REF!</v>
      </c>
    </row>
    <row r="33" spans="1:36">
      <c r="A33" t="s">
        <v>582</v>
      </c>
      <c r="B33" s="51" t="s">
        <v>583</v>
      </c>
      <c r="C33" s="53"/>
      <c r="D33" s="44"/>
      <c r="E33" s="37" t="s">
        <v>14</v>
      </c>
      <c r="F33" s="36" t="s">
        <v>117</v>
      </c>
      <c r="G33" s="36" t="str">
        <f>CONCATENATE(E33,F33)</f>
        <v>MISSIONProcurement</v>
      </c>
      <c r="H33" s="61">
        <v>420000</v>
      </c>
      <c r="I33" s="74" t="s">
        <v>577</v>
      </c>
      <c r="J33" s="119" t="e">
        <f>SUMIF(#REF!,'Price Table 8 CS'!$A33,#REF!)</f>
        <v>#REF!</v>
      </c>
      <c r="K33" s="119" t="e">
        <f>SUMIF(#REF!,'Price Table 8 CS'!$A33,#REF!)</f>
        <v>#REF!</v>
      </c>
      <c r="L33" s="119" t="e">
        <f>SUMIF(#REF!,'Price Table 8 CS'!$A33,#REF!)</f>
        <v>#REF!</v>
      </c>
      <c r="M33" s="119" t="e">
        <f>SUMIF(#REF!,'Price Table 8 CS'!$A33,#REF!)</f>
        <v>#REF!</v>
      </c>
      <c r="N33" s="119" t="e">
        <f>SUMIF(#REF!,'Price Table 8 CS'!$A33,#REF!)</f>
        <v>#REF!</v>
      </c>
      <c r="O33" s="119" t="e">
        <f>SUMIF(#REF!,'Price Table 8 CS'!$A33,#REF!)</f>
        <v>#REF!</v>
      </c>
      <c r="P33" s="119" t="e">
        <f>SUMIF(#REF!,'Price Table 8 CS'!$A33,#REF!)</f>
        <v>#REF!</v>
      </c>
      <c r="Q33" s="119" t="e">
        <f>SUMIF(#REF!,'Price Table 8 CS'!$A33,#REF!)</f>
        <v>#REF!</v>
      </c>
      <c r="R33" s="119" t="e">
        <f>SUMIF(#REF!,'Price Table 8 CS'!$A33,#REF!)</f>
        <v>#REF!</v>
      </c>
      <c r="S33" s="119" t="e">
        <f>SUMIF(#REF!,'Price Table 8 CS'!$A33,#REF!)</f>
        <v>#REF!</v>
      </c>
      <c r="T33" s="119" t="e">
        <f>SUMIF(#REF!,'Price Table 8 CS'!$A33,#REF!)</f>
        <v>#REF!</v>
      </c>
      <c r="U33" s="119" t="e">
        <f>SUMIF(#REF!,'Price Table 8 CS'!$A33,#REF!)</f>
        <v>#REF!</v>
      </c>
      <c r="V33" s="119" t="e">
        <f>SUMIF(#REF!,'Price Table 8 CS'!$A33,#REF!)</f>
        <v>#REF!</v>
      </c>
      <c r="W33" s="119" t="e">
        <f>SUMIF(#REF!,'Price Table 8 CS'!$A33,#REF!)</f>
        <v>#REF!</v>
      </c>
      <c r="X33" s="119" t="e">
        <f>SUMIF(#REF!,'Price Table 8 CS'!$A33,#REF!)</f>
        <v>#REF!</v>
      </c>
      <c r="Y33" s="119" t="e">
        <f>SUMIF(#REF!,'Price Table 8 CS'!$A33,#REF!)</f>
        <v>#REF!</v>
      </c>
      <c r="Z33" s="119" t="e">
        <f>SUMIF(#REF!,'Price Table 8 CS'!$A33,#REF!)</f>
        <v>#REF!</v>
      </c>
      <c r="AA33" s="119" t="e">
        <f>SUMIF(#REF!,'Price Table 8 CS'!$A33,#REF!)</f>
        <v>#REF!</v>
      </c>
      <c r="AB33" s="119" t="e">
        <f>SUMIF(#REF!,'Price Table 8 CS'!$A33,#REF!)</f>
        <v>#REF!</v>
      </c>
      <c r="AC33" s="119" t="e">
        <f>SUMIF(#REF!,'Price Table 8 CS'!$A33,#REF!)</f>
        <v>#REF!</v>
      </c>
      <c r="AD33" s="119" t="e">
        <f>SUMIF(#REF!,'Price Table 8 CS'!$A33,#REF!)</f>
        <v>#REF!</v>
      </c>
      <c r="AE33" s="119" t="e">
        <f>SUMIF(#REF!,'Price Table 8 CS'!$A33,#REF!)</f>
        <v>#REF!</v>
      </c>
      <c r="AF33" s="119" t="e">
        <f>SUMIF(#REF!,'Price Table 8 CS'!$A33,#REF!)</f>
        <v>#REF!</v>
      </c>
      <c r="AG33" s="119" t="e">
        <f>SUMIF(#REF!,'Price Table 8 CS'!$A33,#REF!)</f>
        <v>#REF!</v>
      </c>
      <c r="AH33" s="115" t="e">
        <f t="shared" si="0"/>
        <v>#REF!</v>
      </c>
      <c r="AI33" s="115" t="e">
        <f>SUMIF(#REF!,'Price Table 8 CS'!$A33,#REF!)</f>
        <v>#REF!</v>
      </c>
    </row>
    <row r="34" spans="1:36" s="16" customFormat="1">
      <c r="B34" s="45"/>
      <c r="C34" s="55"/>
      <c r="D34" s="56" t="s">
        <v>562</v>
      </c>
      <c r="E34" s="57"/>
      <c r="F34" s="57"/>
      <c r="G34" s="57"/>
      <c r="H34" s="17"/>
      <c r="AH34" s="390"/>
      <c r="AI34" s="390"/>
      <c r="AJ34" s="390"/>
    </row>
    <row r="35" spans="1:36">
      <c r="B35" s="48" t="s">
        <v>584</v>
      </c>
      <c r="C35" s="52"/>
      <c r="D35" s="50"/>
      <c r="H35"/>
    </row>
    <row r="36" spans="1:36">
      <c r="A36" t="s">
        <v>187</v>
      </c>
      <c r="B36" s="51" t="s">
        <v>585</v>
      </c>
      <c r="C36" s="53"/>
      <c r="D36" s="44"/>
      <c r="E36" s="37" t="s">
        <v>14</v>
      </c>
      <c r="F36" s="36" t="s">
        <v>13</v>
      </c>
      <c r="G36" s="36" t="str">
        <f>CONCATENATE(E36,F36)</f>
        <v>MISSIONManpower</v>
      </c>
      <c r="H36" s="61">
        <v>440000</v>
      </c>
      <c r="I36" t="s">
        <v>586</v>
      </c>
      <c r="J36" s="119" t="e">
        <f>SUMIF(#REF!,'Price Table 8 CS'!$A36,#REF!)</f>
        <v>#REF!</v>
      </c>
      <c r="K36" s="119" t="e">
        <f>SUMIF(#REF!,'Price Table 8 CS'!$A36,#REF!)</f>
        <v>#REF!</v>
      </c>
      <c r="L36" s="119" t="e">
        <f>SUMIF(#REF!,'Price Table 8 CS'!$A36,#REF!)</f>
        <v>#REF!</v>
      </c>
      <c r="M36" s="119" t="e">
        <f>SUMIF(#REF!,'Price Table 8 CS'!$A36,#REF!)</f>
        <v>#REF!</v>
      </c>
      <c r="N36" s="119" t="e">
        <f>SUMIF(#REF!,'Price Table 8 CS'!$A36,#REF!)</f>
        <v>#REF!</v>
      </c>
      <c r="O36" s="119" t="e">
        <f>SUMIF(#REF!,'Price Table 8 CS'!$A36,#REF!)</f>
        <v>#REF!</v>
      </c>
      <c r="P36" s="119" t="e">
        <f>SUMIF(#REF!,'Price Table 8 CS'!$A36,#REF!)</f>
        <v>#REF!</v>
      </c>
      <c r="Q36" s="119" t="e">
        <f>SUMIF(#REF!,'Price Table 8 CS'!$A36,#REF!)</f>
        <v>#REF!</v>
      </c>
      <c r="R36" s="119" t="e">
        <f>SUMIF(#REF!,'Price Table 8 CS'!$A36,#REF!)</f>
        <v>#REF!</v>
      </c>
      <c r="S36" s="119" t="e">
        <f>SUMIF(#REF!,'Price Table 8 CS'!$A36,#REF!)</f>
        <v>#REF!</v>
      </c>
      <c r="T36" s="119" t="e">
        <f>SUMIF(#REF!,'Price Table 8 CS'!$A36,#REF!)</f>
        <v>#REF!</v>
      </c>
      <c r="U36" s="119" t="e">
        <f>SUMIF(#REF!,'Price Table 8 CS'!$A36,#REF!)</f>
        <v>#REF!</v>
      </c>
      <c r="V36" s="119" t="e">
        <f>SUMIF(#REF!,'Price Table 8 CS'!$A36,#REF!)</f>
        <v>#REF!</v>
      </c>
      <c r="W36" s="119" t="e">
        <f>SUMIF(#REF!,'Price Table 8 CS'!$A36,#REF!)</f>
        <v>#REF!</v>
      </c>
      <c r="X36" s="119" t="e">
        <f>SUMIF(#REF!,'Price Table 8 CS'!$A36,#REF!)</f>
        <v>#REF!</v>
      </c>
      <c r="Y36" s="119" t="e">
        <f>SUMIF(#REF!,'Price Table 8 CS'!$A36,#REF!)</f>
        <v>#REF!</v>
      </c>
      <c r="Z36" s="119" t="e">
        <f>SUMIF(#REF!,'Price Table 8 CS'!$A36,#REF!)</f>
        <v>#REF!</v>
      </c>
      <c r="AA36" s="119" t="e">
        <f>SUMIF(#REF!,'Price Table 8 CS'!$A36,#REF!)</f>
        <v>#REF!</v>
      </c>
      <c r="AB36" s="119" t="e">
        <f>SUMIF(#REF!,'Price Table 8 CS'!$A36,#REF!)</f>
        <v>#REF!</v>
      </c>
      <c r="AC36" s="119" t="e">
        <f>SUMIF(#REF!,'Price Table 8 CS'!$A36,#REF!)</f>
        <v>#REF!</v>
      </c>
      <c r="AD36" s="119" t="e">
        <f>SUMIF(#REF!,'Price Table 8 CS'!$A36,#REF!)</f>
        <v>#REF!</v>
      </c>
      <c r="AE36" s="119" t="e">
        <f>SUMIF(#REF!,'Price Table 8 CS'!$A36,#REF!)</f>
        <v>#REF!</v>
      </c>
      <c r="AF36" s="119" t="e">
        <f>SUMIF(#REF!,'Price Table 8 CS'!$A36,#REF!)</f>
        <v>#REF!</v>
      </c>
      <c r="AG36" s="119" t="e">
        <f>SUMIF(#REF!,'Price Table 8 CS'!$A36,#REF!)</f>
        <v>#REF!</v>
      </c>
      <c r="AH36" s="115" t="e">
        <f t="shared" si="0"/>
        <v>#REF!</v>
      </c>
      <c r="AI36" s="115" t="e">
        <f>SUMIF(#REF!,'Price Table 8 CS'!$A36,#REF!)</f>
        <v>#REF!</v>
      </c>
    </row>
    <row r="37" spans="1:36">
      <c r="A37" t="s">
        <v>587</v>
      </c>
      <c r="B37" s="51" t="s">
        <v>588</v>
      </c>
      <c r="C37" s="53"/>
      <c r="D37" s="44"/>
      <c r="E37" s="37" t="s">
        <v>14</v>
      </c>
      <c r="F37" s="36" t="s">
        <v>117</v>
      </c>
      <c r="G37" s="36" t="str">
        <f>CONCATENATE(E37,F37)</f>
        <v>MISSIONProcurement</v>
      </c>
      <c r="H37" s="61">
        <v>440000</v>
      </c>
      <c r="J37" s="119" t="e">
        <f>SUMIF(#REF!,'Price Table 8 CS'!$A37,#REF!)</f>
        <v>#REF!</v>
      </c>
      <c r="K37" s="119" t="e">
        <f>SUMIF(#REF!,'Price Table 8 CS'!$A37,#REF!)</f>
        <v>#REF!</v>
      </c>
      <c r="L37" s="119" t="e">
        <f>SUMIF(#REF!,'Price Table 8 CS'!$A37,#REF!)</f>
        <v>#REF!</v>
      </c>
      <c r="M37" s="119" t="e">
        <f>SUMIF(#REF!,'Price Table 8 CS'!$A37,#REF!)</f>
        <v>#REF!</v>
      </c>
      <c r="N37" s="119" t="e">
        <f>SUMIF(#REF!,'Price Table 8 CS'!$A37,#REF!)</f>
        <v>#REF!</v>
      </c>
      <c r="O37" s="119" t="e">
        <f>SUMIF(#REF!,'Price Table 8 CS'!$A37,#REF!)</f>
        <v>#REF!</v>
      </c>
      <c r="P37" s="119" t="e">
        <f>SUMIF(#REF!,'Price Table 8 CS'!$A37,#REF!)</f>
        <v>#REF!</v>
      </c>
      <c r="Q37" s="119" t="e">
        <f>SUMIF(#REF!,'Price Table 8 CS'!$A37,#REF!)</f>
        <v>#REF!</v>
      </c>
      <c r="R37" s="119" t="e">
        <f>SUMIF(#REF!,'Price Table 8 CS'!$A37,#REF!)</f>
        <v>#REF!</v>
      </c>
      <c r="S37" s="119" t="e">
        <f>SUMIF(#REF!,'Price Table 8 CS'!$A37,#REF!)</f>
        <v>#REF!</v>
      </c>
      <c r="T37" s="119" t="e">
        <f>SUMIF(#REF!,'Price Table 8 CS'!$A37,#REF!)</f>
        <v>#REF!</v>
      </c>
      <c r="U37" s="119" t="e">
        <f>SUMIF(#REF!,'Price Table 8 CS'!$A37,#REF!)</f>
        <v>#REF!</v>
      </c>
      <c r="V37" s="119" t="e">
        <f>SUMIF(#REF!,'Price Table 8 CS'!$A37,#REF!)</f>
        <v>#REF!</v>
      </c>
      <c r="W37" s="119" t="e">
        <f>SUMIF(#REF!,'Price Table 8 CS'!$A37,#REF!)</f>
        <v>#REF!</v>
      </c>
      <c r="X37" s="119" t="e">
        <f>SUMIF(#REF!,'Price Table 8 CS'!$A37,#REF!)</f>
        <v>#REF!</v>
      </c>
      <c r="Y37" s="119" t="e">
        <f>SUMIF(#REF!,'Price Table 8 CS'!$A37,#REF!)</f>
        <v>#REF!</v>
      </c>
      <c r="Z37" s="119" t="e">
        <f>SUMIF(#REF!,'Price Table 8 CS'!$A37,#REF!)</f>
        <v>#REF!</v>
      </c>
      <c r="AA37" s="119" t="e">
        <f>SUMIF(#REF!,'Price Table 8 CS'!$A37,#REF!)</f>
        <v>#REF!</v>
      </c>
      <c r="AB37" s="119" t="e">
        <f>SUMIF(#REF!,'Price Table 8 CS'!$A37,#REF!)</f>
        <v>#REF!</v>
      </c>
      <c r="AC37" s="119" t="e">
        <f>SUMIF(#REF!,'Price Table 8 CS'!$A37,#REF!)</f>
        <v>#REF!</v>
      </c>
      <c r="AD37" s="119" t="e">
        <f>SUMIF(#REF!,'Price Table 8 CS'!$A37,#REF!)</f>
        <v>#REF!</v>
      </c>
      <c r="AE37" s="119" t="e">
        <f>SUMIF(#REF!,'Price Table 8 CS'!$A37,#REF!)</f>
        <v>#REF!</v>
      </c>
      <c r="AF37" s="119" t="e">
        <f>SUMIF(#REF!,'Price Table 8 CS'!$A37,#REF!)</f>
        <v>#REF!</v>
      </c>
      <c r="AG37" s="119" t="e">
        <f>SUMIF(#REF!,'Price Table 8 CS'!$A37,#REF!)</f>
        <v>#REF!</v>
      </c>
      <c r="AH37" s="115" t="e">
        <f t="shared" si="0"/>
        <v>#REF!</v>
      </c>
      <c r="AI37" s="115" t="e">
        <f>SUMIF(#REF!,'Price Table 8 CS'!$A37,#REF!)</f>
        <v>#REF!</v>
      </c>
    </row>
    <row r="38" spans="1:36" s="16" customFormat="1">
      <c r="B38" s="45"/>
      <c r="C38" s="55"/>
      <c r="D38" s="56" t="s">
        <v>562</v>
      </c>
      <c r="E38" s="57"/>
      <c r="F38" s="57"/>
      <c r="G38" s="57"/>
      <c r="H38" s="17"/>
      <c r="AH38" s="390"/>
      <c r="AI38" s="390"/>
      <c r="AJ38" s="390"/>
    </row>
    <row r="39" spans="1:36">
      <c r="B39" s="48" t="s">
        <v>589</v>
      </c>
      <c r="C39" s="49"/>
      <c r="D39" s="50"/>
      <c r="H39"/>
    </row>
    <row r="40" spans="1:36">
      <c r="A40" t="s">
        <v>204</v>
      </c>
      <c r="B40" s="51" t="s">
        <v>590</v>
      </c>
      <c r="C40" s="53"/>
      <c r="D40" s="44"/>
      <c r="E40" s="36" t="s">
        <v>14</v>
      </c>
      <c r="F40" s="36" t="s">
        <v>13</v>
      </c>
      <c r="G40" s="36" t="str">
        <f>CONCATENATE(E40,F40)</f>
        <v>MISSIONManpower</v>
      </c>
      <c r="H40" s="61">
        <v>450000</v>
      </c>
      <c r="I40" s="66" t="s">
        <v>591</v>
      </c>
      <c r="J40" s="119" t="e">
        <f>SUMIF(#REF!,'Price Table 8 CS'!$A40,#REF!)</f>
        <v>#REF!</v>
      </c>
      <c r="K40" s="119" t="e">
        <f>SUMIF(#REF!,'Price Table 8 CS'!$A40,#REF!)</f>
        <v>#REF!</v>
      </c>
      <c r="L40" s="119" t="e">
        <f>SUMIF(#REF!,'Price Table 8 CS'!$A40,#REF!)</f>
        <v>#REF!</v>
      </c>
      <c r="M40" s="119" t="e">
        <f>SUMIF(#REF!,'Price Table 8 CS'!$A40,#REF!)</f>
        <v>#REF!</v>
      </c>
      <c r="N40" s="119" t="e">
        <f>SUMIF(#REF!,'Price Table 8 CS'!$A40,#REF!)</f>
        <v>#REF!</v>
      </c>
      <c r="O40" s="119" t="e">
        <f>SUMIF(#REF!,'Price Table 8 CS'!$A40,#REF!)</f>
        <v>#REF!</v>
      </c>
      <c r="P40" s="119" t="e">
        <f>SUMIF(#REF!,'Price Table 8 CS'!$A40,#REF!)</f>
        <v>#REF!</v>
      </c>
      <c r="Q40" s="119" t="e">
        <f>SUMIF(#REF!,'Price Table 8 CS'!$A40,#REF!)</f>
        <v>#REF!</v>
      </c>
      <c r="R40" s="119" t="e">
        <f>SUMIF(#REF!,'Price Table 8 CS'!$A40,#REF!)</f>
        <v>#REF!</v>
      </c>
      <c r="S40" s="119" t="e">
        <f>SUMIF(#REF!,'Price Table 8 CS'!$A40,#REF!)</f>
        <v>#REF!</v>
      </c>
      <c r="T40" s="119" t="e">
        <f>SUMIF(#REF!,'Price Table 8 CS'!$A40,#REF!)</f>
        <v>#REF!</v>
      </c>
      <c r="U40" s="119" t="e">
        <f>SUMIF(#REF!,'Price Table 8 CS'!$A40,#REF!)</f>
        <v>#REF!</v>
      </c>
      <c r="V40" s="119" t="e">
        <f>SUMIF(#REF!,'Price Table 8 CS'!$A40,#REF!)</f>
        <v>#REF!</v>
      </c>
      <c r="W40" s="119" t="e">
        <f>SUMIF(#REF!,'Price Table 8 CS'!$A40,#REF!)</f>
        <v>#REF!</v>
      </c>
      <c r="X40" s="119" t="e">
        <f>SUMIF(#REF!,'Price Table 8 CS'!$A40,#REF!)</f>
        <v>#REF!</v>
      </c>
      <c r="Y40" s="119" t="e">
        <f>SUMIF(#REF!,'Price Table 8 CS'!$A40,#REF!)</f>
        <v>#REF!</v>
      </c>
      <c r="Z40" s="119" t="e">
        <f>SUMIF(#REF!,'Price Table 8 CS'!$A40,#REF!)</f>
        <v>#REF!</v>
      </c>
      <c r="AA40" s="119" t="e">
        <f>SUMIF(#REF!,'Price Table 8 CS'!$A40,#REF!)</f>
        <v>#REF!</v>
      </c>
      <c r="AB40" s="119" t="e">
        <f>SUMIF(#REF!,'Price Table 8 CS'!$A40,#REF!)</f>
        <v>#REF!</v>
      </c>
      <c r="AC40" s="119" t="e">
        <f>SUMIF(#REF!,'Price Table 8 CS'!$A40,#REF!)</f>
        <v>#REF!</v>
      </c>
      <c r="AD40" s="119" t="e">
        <f>SUMIF(#REF!,'Price Table 8 CS'!$A40,#REF!)</f>
        <v>#REF!</v>
      </c>
      <c r="AE40" s="119" t="e">
        <f>SUMIF(#REF!,'Price Table 8 CS'!$A40,#REF!)</f>
        <v>#REF!</v>
      </c>
      <c r="AF40" s="119" t="e">
        <f>SUMIF(#REF!,'Price Table 8 CS'!$A40,#REF!)</f>
        <v>#REF!</v>
      </c>
      <c r="AG40" s="119" t="e">
        <f>SUMIF(#REF!,'Price Table 8 CS'!$A40,#REF!)</f>
        <v>#REF!</v>
      </c>
      <c r="AH40" s="115" t="e">
        <f t="shared" si="0"/>
        <v>#REF!</v>
      </c>
      <c r="AI40" s="115" t="e">
        <f>SUMIF(#REF!,'Price Table 8 CS'!$A40,#REF!)</f>
        <v>#REF!</v>
      </c>
    </row>
    <row r="41" spans="1:36">
      <c r="A41" t="s">
        <v>592</v>
      </c>
      <c r="B41" s="51" t="s">
        <v>593</v>
      </c>
      <c r="C41" s="53"/>
      <c r="D41" s="44"/>
      <c r="E41" s="36" t="s">
        <v>14</v>
      </c>
      <c r="F41" s="36" t="s">
        <v>117</v>
      </c>
      <c r="G41" s="36" t="str">
        <f>CONCATENATE(E41,F41)</f>
        <v>MISSIONProcurement</v>
      </c>
      <c r="H41" s="61">
        <v>450000</v>
      </c>
      <c r="J41" s="119" t="e">
        <f>SUMIF(#REF!,'Price Table 8 CS'!$A41,#REF!)</f>
        <v>#REF!</v>
      </c>
      <c r="K41" s="119" t="e">
        <f>SUMIF(#REF!,'Price Table 8 CS'!$A41,#REF!)</f>
        <v>#REF!</v>
      </c>
      <c r="L41" s="119" t="e">
        <f>SUMIF(#REF!,'Price Table 8 CS'!$A41,#REF!)</f>
        <v>#REF!</v>
      </c>
      <c r="M41" s="119" t="e">
        <f>SUMIF(#REF!,'Price Table 8 CS'!$A41,#REF!)</f>
        <v>#REF!</v>
      </c>
      <c r="N41" s="119" t="e">
        <f>SUMIF(#REF!,'Price Table 8 CS'!$A41,#REF!)</f>
        <v>#REF!</v>
      </c>
      <c r="O41" s="119" t="e">
        <f>SUMIF(#REF!,'Price Table 8 CS'!$A41,#REF!)</f>
        <v>#REF!</v>
      </c>
      <c r="P41" s="119" t="e">
        <f>SUMIF(#REF!,'Price Table 8 CS'!$A41,#REF!)</f>
        <v>#REF!</v>
      </c>
      <c r="Q41" s="119" t="e">
        <f>SUMIF(#REF!,'Price Table 8 CS'!$A41,#REF!)</f>
        <v>#REF!</v>
      </c>
      <c r="R41" s="119" t="e">
        <f>SUMIF(#REF!,'Price Table 8 CS'!$A41,#REF!)</f>
        <v>#REF!</v>
      </c>
      <c r="S41" s="119" t="e">
        <f>SUMIF(#REF!,'Price Table 8 CS'!$A41,#REF!)</f>
        <v>#REF!</v>
      </c>
      <c r="T41" s="119" t="e">
        <f>SUMIF(#REF!,'Price Table 8 CS'!$A41,#REF!)</f>
        <v>#REF!</v>
      </c>
      <c r="U41" s="119" t="e">
        <f>SUMIF(#REF!,'Price Table 8 CS'!$A41,#REF!)</f>
        <v>#REF!</v>
      </c>
      <c r="V41" s="119" t="e">
        <f>SUMIF(#REF!,'Price Table 8 CS'!$A41,#REF!)</f>
        <v>#REF!</v>
      </c>
      <c r="W41" s="119" t="e">
        <f>SUMIF(#REF!,'Price Table 8 CS'!$A41,#REF!)</f>
        <v>#REF!</v>
      </c>
      <c r="X41" s="119" t="e">
        <f>SUMIF(#REF!,'Price Table 8 CS'!$A41,#REF!)</f>
        <v>#REF!</v>
      </c>
      <c r="Y41" s="119" t="e">
        <f>SUMIF(#REF!,'Price Table 8 CS'!$A41,#REF!)</f>
        <v>#REF!</v>
      </c>
      <c r="Z41" s="119" t="e">
        <f>SUMIF(#REF!,'Price Table 8 CS'!$A41,#REF!)</f>
        <v>#REF!</v>
      </c>
      <c r="AA41" s="119" t="e">
        <f>SUMIF(#REF!,'Price Table 8 CS'!$A41,#REF!)</f>
        <v>#REF!</v>
      </c>
      <c r="AB41" s="119" t="e">
        <f>SUMIF(#REF!,'Price Table 8 CS'!$A41,#REF!)</f>
        <v>#REF!</v>
      </c>
      <c r="AC41" s="119" t="e">
        <f>SUMIF(#REF!,'Price Table 8 CS'!$A41,#REF!)</f>
        <v>#REF!</v>
      </c>
      <c r="AD41" s="119" t="e">
        <f>SUMIF(#REF!,'Price Table 8 CS'!$A41,#REF!)</f>
        <v>#REF!</v>
      </c>
      <c r="AE41" s="119" t="e">
        <f>SUMIF(#REF!,'Price Table 8 CS'!$A41,#REF!)</f>
        <v>#REF!</v>
      </c>
      <c r="AF41" s="119" t="e">
        <f>SUMIF(#REF!,'Price Table 8 CS'!$A41,#REF!)</f>
        <v>#REF!</v>
      </c>
      <c r="AG41" s="119" t="e">
        <f>SUMIF(#REF!,'Price Table 8 CS'!$A41,#REF!)</f>
        <v>#REF!</v>
      </c>
      <c r="AH41" s="115" t="e">
        <f t="shared" si="0"/>
        <v>#REF!</v>
      </c>
      <c r="AI41" s="115" t="e">
        <f>SUMIF(#REF!,'Price Table 8 CS'!$A41,#REF!)</f>
        <v>#REF!</v>
      </c>
    </row>
    <row r="42" spans="1:36" s="16" customFormat="1">
      <c r="B42" s="45"/>
      <c r="C42" s="55"/>
      <c r="D42" s="56" t="s">
        <v>562</v>
      </c>
      <c r="E42" s="57"/>
      <c r="F42" s="57"/>
      <c r="G42" s="57"/>
      <c r="H42" s="17"/>
      <c r="AH42" s="390"/>
      <c r="AI42" s="390"/>
      <c r="AJ42" s="390"/>
    </row>
    <row r="43" spans="1:36">
      <c r="B43" s="48" t="s">
        <v>157</v>
      </c>
      <c r="C43" s="52"/>
      <c r="D43" s="50"/>
      <c r="H43"/>
    </row>
    <row r="44" spans="1:36">
      <c r="A44" t="s">
        <v>275</v>
      </c>
      <c r="B44" s="51" t="s">
        <v>594</v>
      </c>
      <c r="C44" s="53"/>
      <c r="D44" s="44"/>
      <c r="E44" s="37" t="s">
        <v>14</v>
      </c>
      <c r="F44" s="36" t="s">
        <v>13</v>
      </c>
      <c r="G44" s="36" t="str">
        <f>CONCATENATE(E44,F44)</f>
        <v>MISSIONManpower</v>
      </c>
      <c r="H44" s="16">
        <v>470000</v>
      </c>
      <c r="I44" t="s">
        <v>595</v>
      </c>
      <c r="J44" s="119" t="e">
        <f>SUMIF(#REF!,'Price Table 8 CS'!$A44,#REF!)</f>
        <v>#REF!</v>
      </c>
      <c r="K44" s="119" t="e">
        <f>SUMIF(#REF!,'Price Table 8 CS'!$A44,#REF!)</f>
        <v>#REF!</v>
      </c>
      <c r="L44" s="119" t="e">
        <f>SUMIF(#REF!,'Price Table 8 CS'!$A44,#REF!)</f>
        <v>#REF!</v>
      </c>
      <c r="M44" s="119" t="e">
        <f>SUMIF(#REF!,'Price Table 8 CS'!$A44,#REF!)</f>
        <v>#REF!</v>
      </c>
      <c r="N44" s="119" t="e">
        <f>SUMIF(#REF!,'Price Table 8 CS'!$A44,#REF!)</f>
        <v>#REF!</v>
      </c>
      <c r="O44" s="119" t="e">
        <f>SUMIF(#REF!,'Price Table 8 CS'!$A44,#REF!)</f>
        <v>#REF!</v>
      </c>
      <c r="P44" s="119" t="e">
        <f>SUMIF(#REF!,'Price Table 8 CS'!$A44,#REF!)</f>
        <v>#REF!</v>
      </c>
      <c r="Q44" s="119" t="e">
        <f>SUMIF(#REF!,'Price Table 8 CS'!$A44,#REF!)</f>
        <v>#REF!</v>
      </c>
      <c r="R44" s="119" t="e">
        <f>SUMIF(#REF!,'Price Table 8 CS'!$A44,#REF!)</f>
        <v>#REF!</v>
      </c>
      <c r="S44" s="119" t="e">
        <f>SUMIF(#REF!,'Price Table 8 CS'!$A44,#REF!)</f>
        <v>#REF!</v>
      </c>
      <c r="T44" s="119" t="e">
        <f>SUMIF(#REF!,'Price Table 8 CS'!$A44,#REF!)</f>
        <v>#REF!</v>
      </c>
      <c r="U44" s="119" t="e">
        <f>SUMIF(#REF!,'Price Table 8 CS'!$A44,#REF!)</f>
        <v>#REF!</v>
      </c>
      <c r="V44" s="119" t="e">
        <f>SUMIF(#REF!,'Price Table 8 CS'!$A44,#REF!)</f>
        <v>#REF!</v>
      </c>
      <c r="W44" s="119" t="e">
        <f>SUMIF(#REF!,'Price Table 8 CS'!$A44,#REF!)</f>
        <v>#REF!</v>
      </c>
      <c r="X44" s="119" t="e">
        <f>SUMIF(#REF!,'Price Table 8 CS'!$A44,#REF!)</f>
        <v>#REF!</v>
      </c>
      <c r="Y44" s="119" t="e">
        <f>SUMIF(#REF!,'Price Table 8 CS'!$A44,#REF!)</f>
        <v>#REF!</v>
      </c>
      <c r="Z44" s="119" t="e">
        <f>SUMIF(#REF!,'Price Table 8 CS'!$A44,#REF!)</f>
        <v>#REF!</v>
      </c>
      <c r="AA44" s="119" t="e">
        <f>SUMIF(#REF!,'Price Table 8 CS'!$A44,#REF!)</f>
        <v>#REF!</v>
      </c>
      <c r="AB44" s="119" t="e">
        <f>SUMIF(#REF!,'Price Table 8 CS'!$A44,#REF!)</f>
        <v>#REF!</v>
      </c>
      <c r="AC44" s="119" t="e">
        <f>SUMIF(#REF!,'Price Table 8 CS'!$A44,#REF!)</f>
        <v>#REF!</v>
      </c>
      <c r="AD44" s="119" t="e">
        <f>SUMIF(#REF!,'Price Table 8 CS'!$A44,#REF!)</f>
        <v>#REF!</v>
      </c>
      <c r="AE44" s="119" t="e">
        <f>SUMIF(#REF!,'Price Table 8 CS'!$A44,#REF!)</f>
        <v>#REF!</v>
      </c>
      <c r="AF44" s="119" t="e">
        <f>SUMIF(#REF!,'Price Table 8 CS'!$A44,#REF!)</f>
        <v>#REF!</v>
      </c>
      <c r="AG44" s="119" t="e">
        <f>SUMIF(#REF!,'Price Table 8 CS'!$A44,#REF!)</f>
        <v>#REF!</v>
      </c>
      <c r="AH44" s="115" t="e">
        <f t="shared" si="0"/>
        <v>#REF!</v>
      </c>
      <c r="AI44" s="115" t="e">
        <f>SUMIF(#REF!,'Price Table 8 CS'!$A44,#REF!)</f>
        <v>#REF!</v>
      </c>
    </row>
    <row r="45" spans="1:36">
      <c r="A45" t="s">
        <v>596</v>
      </c>
      <c r="B45" s="51" t="s">
        <v>597</v>
      </c>
      <c r="C45" s="53"/>
      <c r="D45" s="44"/>
      <c r="E45" s="37" t="s">
        <v>14</v>
      </c>
      <c r="F45" s="36" t="s">
        <v>117</v>
      </c>
      <c r="G45" s="36" t="str">
        <f>CONCATENATE(E45,F45)</f>
        <v>MISSIONProcurement</v>
      </c>
      <c r="H45" s="16">
        <v>470000</v>
      </c>
      <c r="I45" t="s">
        <v>595</v>
      </c>
      <c r="J45" s="119" t="e">
        <f>SUMIF(#REF!,'Price Table 8 CS'!$A45,#REF!)</f>
        <v>#REF!</v>
      </c>
      <c r="K45" s="119" t="e">
        <f>SUMIF(#REF!,'Price Table 8 CS'!$A45,#REF!)</f>
        <v>#REF!</v>
      </c>
      <c r="L45" s="119" t="e">
        <f>SUMIF(#REF!,'Price Table 8 CS'!$A45,#REF!)</f>
        <v>#REF!</v>
      </c>
      <c r="M45" s="119" t="e">
        <f>SUMIF(#REF!,'Price Table 8 CS'!$A45,#REF!)</f>
        <v>#REF!</v>
      </c>
      <c r="N45" s="119" t="e">
        <f>SUMIF(#REF!,'Price Table 8 CS'!$A45,#REF!)</f>
        <v>#REF!</v>
      </c>
      <c r="O45" s="119" t="e">
        <f>SUMIF(#REF!,'Price Table 8 CS'!$A45,#REF!)</f>
        <v>#REF!</v>
      </c>
      <c r="P45" s="119" t="e">
        <f>SUMIF(#REF!,'Price Table 8 CS'!$A45,#REF!)</f>
        <v>#REF!</v>
      </c>
      <c r="Q45" s="119" t="e">
        <f>SUMIF(#REF!,'Price Table 8 CS'!$A45,#REF!)</f>
        <v>#REF!</v>
      </c>
      <c r="R45" s="119" t="e">
        <f>SUMIF(#REF!,'Price Table 8 CS'!$A45,#REF!)</f>
        <v>#REF!</v>
      </c>
      <c r="S45" s="119" t="e">
        <f>SUMIF(#REF!,'Price Table 8 CS'!$A45,#REF!)</f>
        <v>#REF!</v>
      </c>
      <c r="T45" s="119" t="e">
        <f>SUMIF(#REF!,'Price Table 8 CS'!$A45,#REF!)</f>
        <v>#REF!</v>
      </c>
      <c r="U45" s="119" t="e">
        <f>SUMIF(#REF!,'Price Table 8 CS'!$A45,#REF!)</f>
        <v>#REF!</v>
      </c>
      <c r="V45" s="119" t="e">
        <f>SUMIF(#REF!,'Price Table 8 CS'!$A45,#REF!)</f>
        <v>#REF!</v>
      </c>
      <c r="W45" s="119" t="e">
        <f>SUMIF(#REF!,'Price Table 8 CS'!$A45,#REF!)</f>
        <v>#REF!</v>
      </c>
      <c r="X45" s="119" t="e">
        <f>SUMIF(#REF!,'Price Table 8 CS'!$A45,#REF!)</f>
        <v>#REF!</v>
      </c>
      <c r="Y45" s="119" t="e">
        <f>SUMIF(#REF!,'Price Table 8 CS'!$A45,#REF!)</f>
        <v>#REF!</v>
      </c>
      <c r="Z45" s="119" t="e">
        <f>SUMIF(#REF!,'Price Table 8 CS'!$A45,#REF!)</f>
        <v>#REF!</v>
      </c>
      <c r="AA45" s="119" t="e">
        <f>SUMIF(#REF!,'Price Table 8 CS'!$A45,#REF!)</f>
        <v>#REF!</v>
      </c>
      <c r="AB45" s="119" t="e">
        <f>SUMIF(#REF!,'Price Table 8 CS'!$A45,#REF!)</f>
        <v>#REF!</v>
      </c>
      <c r="AC45" s="119" t="e">
        <f>SUMIF(#REF!,'Price Table 8 CS'!$A45,#REF!)</f>
        <v>#REF!</v>
      </c>
      <c r="AD45" s="119" t="e">
        <f>SUMIF(#REF!,'Price Table 8 CS'!$A45,#REF!)</f>
        <v>#REF!</v>
      </c>
      <c r="AE45" s="119" t="e">
        <f>SUMIF(#REF!,'Price Table 8 CS'!$A45,#REF!)</f>
        <v>#REF!</v>
      </c>
      <c r="AF45" s="119" t="e">
        <f>SUMIF(#REF!,'Price Table 8 CS'!$A45,#REF!)</f>
        <v>#REF!</v>
      </c>
      <c r="AG45" s="119" t="e">
        <f>SUMIF(#REF!,'Price Table 8 CS'!$A45,#REF!)</f>
        <v>#REF!</v>
      </c>
      <c r="AH45" s="115" t="e">
        <f t="shared" si="0"/>
        <v>#REF!</v>
      </c>
      <c r="AI45" s="115" t="e">
        <f>SUMIF(#REF!,'Price Table 8 CS'!$A45,#REF!)</f>
        <v>#REF!</v>
      </c>
    </row>
    <row r="46" spans="1:36" s="16" customFormat="1">
      <c r="B46" s="45"/>
      <c r="C46" s="55"/>
      <c r="D46" s="56" t="s">
        <v>562</v>
      </c>
      <c r="E46" s="57"/>
      <c r="F46" s="57"/>
      <c r="G46" s="57"/>
      <c r="J46" s="119" t="e">
        <f>SUMIF(#REF!,'Price Table 8 CS'!$A46,#REF!)</f>
        <v>#REF!</v>
      </c>
      <c r="K46" s="119" t="e">
        <f>SUMIF(#REF!,'Price Table 8 CS'!$A46,#REF!)</f>
        <v>#REF!</v>
      </c>
      <c r="L46" s="119" t="e">
        <f>SUMIF(#REF!,'Price Table 8 CS'!$A46,#REF!)</f>
        <v>#REF!</v>
      </c>
      <c r="M46" s="119" t="e">
        <f>SUMIF(#REF!,'Price Table 8 CS'!$A46,#REF!)</f>
        <v>#REF!</v>
      </c>
      <c r="N46" s="119" t="e">
        <f>SUMIF(#REF!,'Price Table 8 CS'!$A46,#REF!)</f>
        <v>#REF!</v>
      </c>
      <c r="O46" s="119" t="e">
        <f>SUMIF(#REF!,'Price Table 8 CS'!$A46,#REF!)</f>
        <v>#REF!</v>
      </c>
      <c r="P46" s="119" t="e">
        <f>SUMIF(#REF!,'Price Table 8 CS'!$A46,#REF!)</f>
        <v>#REF!</v>
      </c>
      <c r="Q46" s="119" t="e">
        <f>SUMIF(#REF!,'Price Table 8 CS'!$A46,#REF!)</f>
        <v>#REF!</v>
      </c>
      <c r="R46" s="119" t="e">
        <f>SUMIF(#REF!,'Price Table 8 CS'!$A46,#REF!)</f>
        <v>#REF!</v>
      </c>
      <c r="S46" s="119" t="e">
        <f>SUMIF(#REF!,'Price Table 8 CS'!$A46,#REF!)</f>
        <v>#REF!</v>
      </c>
      <c r="T46" s="119" t="e">
        <f>SUMIF(#REF!,'Price Table 8 CS'!$A46,#REF!)</f>
        <v>#REF!</v>
      </c>
      <c r="U46" s="119" t="e">
        <f>SUMIF(#REF!,'Price Table 8 CS'!$A46,#REF!)</f>
        <v>#REF!</v>
      </c>
      <c r="V46" s="119" t="e">
        <f>SUMIF(#REF!,'Price Table 8 CS'!$A46,#REF!)</f>
        <v>#REF!</v>
      </c>
      <c r="W46" s="119" t="e">
        <f>SUMIF(#REF!,'Price Table 8 CS'!$A46,#REF!)</f>
        <v>#REF!</v>
      </c>
      <c r="X46" s="119" t="e">
        <f>SUMIF(#REF!,'Price Table 8 CS'!$A46,#REF!)</f>
        <v>#REF!</v>
      </c>
      <c r="Y46" s="119" t="e">
        <f>SUMIF(#REF!,'Price Table 8 CS'!$A46,#REF!)</f>
        <v>#REF!</v>
      </c>
      <c r="Z46" s="119" t="e">
        <f>SUMIF(#REF!,'Price Table 8 CS'!$A46,#REF!)</f>
        <v>#REF!</v>
      </c>
      <c r="AA46" s="119" t="e">
        <f>SUMIF(#REF!,'Price Table 8 CS'!$A46,#REF!)</f>
        <v>#REF!</v>
      </c>
      <c r="AB46" s="119" t="e">
        <f>SUMIF(#REF!,'Price Table 8 CS'!$A46,#REF!)</f>
        <v>#REF!</v>
      </c>
      <c r="AC46" s="119" t="e">
        <f>SUMIF(#REF!,'Price Table 8 CS'!$A46,#REF!)</f>
        <v>#REF!</v>
      </c>
      <c r="AD46" s="119" t="e">
        <f>SUMIF(#REF!,'Price Table 8 CS'!$A46,#REF!)</f>
        <v>#REF!</v>
      </c>
      <c r="AE46" s="119" t="e">
        <f>SUMIF(#REF!,'Price Table 8 CS'!$A46,#REF!)</f>
        <v>#REF!</v>
      </c>
      <c r="AF46" s="119" t="e">
        <f>SUMIF(#REF!,'Price Table 8 CS'!$A46,#REF!)</f>
        <v>#REF!</v>
      </c>
      <c r="AG46" s="119" t="e">
        <f>SUMIF(#REF!,'Price Table 8 CS'!$A46,#REF!)</f>
        <v>#REF!</v>
      </c>
      <c r="AH46" s="115" t="e">
        <f t="shared" si="0"/>
        <v>#REF!</v>
      </c>
      <c r="AI46" s="115" t="e">
        <f>SUMIF(#REF!,'Price Table 8 CS'!$A46,#REF!)</f>
        <v>#REF!</v>
      </c>
      <c r="AJ46" s="390"/>
    </row>
    <row r="47" spans="1:36">
      <c r="B47" s="48" t="s">
        <v>598</v>
      </c>
      <c r="C47" s="52"/>
      <c r="D47" s="50"/>
      <c r="H47" s="17"/>
      <c r="J47" s="119" t="e">
        <f>SUMIF(#REF!,'Price Table 8 CS'!$A47,#REF!)</f>
        <v>#REF!</v>
      </c>
      <c r="K47" s="119" t="e">
        <f>SUMIF(#REF!,'Price Table 8 CS'!$A47,#REF!)</f>
        <v>#REF!</v>
      </c>
      <c r="L47" s="119" t="e">
        <f>SUMIF(#REF!,'Price Table 8 CS'!$A47,#REF!)</f>
        <v>#REF!</v>
      </c>
      <c r="M47" s="119" t="e">
        <f>SUMIF(#REF!,'Price Table 8 CS'!$A47,#REF!)</f>
        <v>#REF!</v>
      </c>
      <c r="N47" s="119" t="e">
        <f>SUMIF(#REF!,'Price Table 8 CS'!$A47,#REF!)</f>
        <v>#REF!</v>
      </c>
      <c r="O47" s="119" t="e">
        <f>SUMIF(#REF!,'Price Table 8 CS'!$A47,#REF!)</f>
        <v>#REF!</v>
      </c>
      <c r="P47" s="119" t="e">
        <f>SUMIF(#REF!,'Price Table 8 CS'!$A47,#REF!)</f>
        <v>#REF!</v>
      </c>
      <c r="Q47" s="119" t="e">
        <f>SUMIF(#REF!,'Price Table 8 CS'!$A47,#REF!)</f>
        <v>#REF!</v>
      </c>
      <c r="R47" s="119" t="e">
        <f>SUMIF(#REF!,'Price Table 8 CS'!$A47,#REF!)</f>
        <v>#REF!</v>
      </c>
      <c r="S47" s="119" t="e">
        <f>SUMIF(#REF!,'Price Table 8 CS'!$A47,#REF!)</f>
        <v>#REF!</v>
      </c>
      <c r="T47" s="119" t="e">
        <f>SUMIF(#REF!,'Price Table 8 CS'!$A47,#REF!)</f>
        <v>#REF!</v>
      </c>
      <c r="U47" s="119" t="e">
        <f>SUMIF(#REF!,'Price Table 8 CS'!$A47,#REF!)</f>
        <v>#REF!</v>
      </c>
      <c r="V47" s="119" t="e">
        <f>SUMIF(#REF!,'Price Table 8 CS'!$A47,#REF!)</f>
        <v>#REF!</v>
      </c>
      <c r="W47" s="119" t="e">
        <f>SUMIF(#REF!,'Price Table 8 CS'!$A47,#REF!)</f>
        <v>#REF!</v>
      </c>
      <c r="X47" s="119" t="e">
        <f>SUMIF(#REF!,'Price Table 8 CS'!$A47,#REF!)</f>
        <v>#REF!</v>
      </c>
      <c r="Y47" s="119" t="e">
        <f>SUMIF(#REF!,'Price Table 8 CS'!$A47,#REF!)</f>
        <v>#REF!</v>
      </c>
      <c r="Z47" s="119" t="e">
        <f>SUMIF(#REF!,'Price Table 8 CS'!$A47,#REF!)</f>
        <v>#REF!</v>
      </c>
      <c r="AA47" s="119" t="e">
        <f>SUMIF(#REF!,'Price Table 8 CS'!$A47,#REF!)</f>
        <v>#REF!</v>
      </c>
      <c r="AB47" s="119" t="e">
        <f>SUMIF(#REF!,'Price Table 8 CS'!$A47,#REF!)</f>
        <v>#REF!</v>
      </c>
      <c r="AC47" s="119" t="e">
        <f>SUMIF(#REF!,'Price Table 8 CS'!$A47,#REF!)</f>
        <v>#REF!</v>
      </c>
      <c r="AD47" s="119" t="e">
        <f>SUMIF(#REF!,'Price Table 8 CS'!$A47,#REF!)</f>
        <v>#REF!</v>
      </c>
      <c r="AE47" s="119" t="e">
        <f>SUMIF(#REF!,'Price Table 8 CS'!$A47,#REF!)</f>
        <v>#REF!</v>
      </c>
      <c r="AF47" s="119" t="e">
        <f>SUMIF(#REF!,'Price Table 8 CS'!$A47,#REF!)</f>
        <v>#REF!</v>
      </c>
      <c r="AG47" s="119" t="e">
        <f>SUMIF(#REF!,'Price Table 8 CS'!$A47,#REF!)</f>
        <v>#REF!</v>
      </c>
      <c r="AH47" s="115" t="e">
        <f t="shared" si="0"/>
        <v>#REF!</v>
      </c>
      <c r="AI47" s="115" t="e">
        <f>SUMIF(#REF!,'Price Table 8 CS'!$A47,#REF!)</f>
        <v>#REF!</v>
      </c>
    </row>
    <row r="48" spans="1:36">
      <c r="A48" t="s">
        <v>321</v>
      </c>
      <c r="B48" s="51" t="s">
        <v>599</v>
      </c>
      <c r="C48" s="53"/>
      <c r="D48" s="44"/>
      <c r="E48" s="36" t="s">
        <v>139</v>
      </c>
      <c r="F48" s="36" t="s">
        <v>13</v>
      </c>
      <c r="G48" s="36" t="str">
        <f>CONCATENATE(E48,F48)</f>
        <v>TECHManpower</v>
      </c>
      <c r="H48" s="63" t="s">
        <v>600</v>
      </c>
      <c r="I48" s="65" t="s">
        <v>601</v>
      </c>
      <c r="J48" s="119" t="e">
        <f>SUMIF(#REF!,'Price Table 8 CS'!$A48,#REF!)</f>
        <v>#REF!</v>
      </c>
      <c r="K48" s="119" t="e">
        <f>SUMIF(#REF!,'Price Table 8 CS'!$A48,#REF!)</f>
        <v>#REF!</v>
      </c>
      <c r="L48" s="119" t="e">
        <f>SUMIF(#REF!,'Price Table 8 CS'!$A48,#REF!)</f>
        <v>#REF!</v>
      </c>
      <c r="M48" s="119" t="e">
        <f>SUMIF(#REF!,'Price Table 8 CS'!$A48,#REF!)</f>
        <v>#REF!</v>
      </c>
      <c r="N48" s="119" t="e">
        <f>SUMIF(#REF!,'Price Table 8 CS'!$A48,#REF!)</f>
        <v>#REF!</v>
      </c>
      <c r="O48" s="119" t="e">
        <f>SUMIF(#REF!,'Price Table 8 CS'!$A48,#REF!)</f>
        <v>#REF!</v>
      </c>
      <c r="P48" s="119" t="e">
        <f>SUMIF(#REF!,'Price Table 8 CS'!$A48,#REF!)</f>
        <v>#REF!</v>
      </c>
      <c r="Q48" s="119" t="e">
        <f>SUMIF(#REF!,'Price Table 8 CS'!$A48,#REF!)</f>
        <v>#REF!</v>
      </c>
      <c r="R48" s="119" t="e">
        <f>SUMIF(#REF!,'Price Table 8 CS'!$A48,#REF!)</f>
        <v>#REF!</v>
      </c>
      <c r="S48" s="119" t="e">
        <f>SUMIF(#REF!,'Price Table 8 CS'!$A48,#REF!)</f>
        <v>#REF!</v>
      </c>
      <c r="T48" s="119" t="e">
        <f>SUMIF(#REF!,'Price Table 8 CS'!$A48,#REF!)</f>
        <v>#REF!</v>
      </c>
      <c r="U48" s="119" t="e">
        <f>SUMIF(#REF!,'Price Table 8 CS'!$A48,#REF!)</f>
        <v>#REF!</v>
      </c>
      <c r="V48" s="119" t="e">
        <f>SUMIF(#REF!,'Price Table 8 CS'!$A48,#REF!)</f>
        <v>#REF!</v>
      </c>
      <c r="W48" s="119" t="e">
        <f>SUMIF(#REF!,'Price Table 8 CS'!$A48,#REF!)</f>
        <v>#REF!</v>
      </c>
      <c r="X48" s="119" t="e">
        <f>SUMIF(#REF!,'Price Table 8 CS'!$A48,#REF!)</f>
        <v>#REF!</v>
      </c>
      <c r="Y48" s="119" t="e">
        <f>SUMIF(#REF!,'Price Table 8 CS'!$A48,#REF!)</f>
        <v>#REF!</v>
      </c>
      <c r="Z48" s="119" t="e">
        <f>SUMIF(#REF!,'Price Table 8 CS'!$A48,#REF!)</f>
        <v>#REF!</v>
      </c>
      <c r="AA48" s="119" t="e">
        <f>SUMIF(#REF!,'Price Table 8 CS'!$A48,#REF!)</f>
        <v>#REF!</v>
      </c>
      <c r="AB48" s="119" t="e">
        <f>SUMIF(#REF!,'Price Table 8 CS'!$A48,#REF!)</f>
        <v>#REF!</v>
      </c>
      <c r="AC48" s="119" t="e">
        <f>SUMIF(#REF!,'Price Table 8 CS'!$A48,#REF!)</f>
        <v>#REF!</v>
      </c>
      <c r="AD48" s="119" t="e">
        <f>SUMIF(#REF!,'Price Table 8 CS'!$A48,#REF!)</f>
        <v>#REF!</v>
      </c>
      <c r="AE48" s="119" t="e">
        <f>SUMIF(#REF!,'Price Table 8 CS'!$A48,#REF!)</f>
        <v>#REF!</v>
      </c>
      <c r="AF48" s="119" t="e">
        <f>SUMIF(#REF!,'Price Table 8 CS'!$A48,#REF!)</f>
        <v>#REF!</v>
      </c>
      <c r="AG48" s="119" t="e">
        <f>SUMIF(#REF!,'Price Table 8 CS'!$A48,#REF!)</f>
        <v>#REF!</v>
      </c>
      <c r="AH48" s="115" t="e">
        <f t="shared" si="0"/>
        <v>#REF!</v>
      </c>
      <c r="AI48" s="115" t="e">
        <f>SUMIF(#REF!,'Price Table 8 CS'!$A48,#REF!)</f>
        <v>#REF!</v>
      </c>
    </row>
    <row r="49" spans="1:36">
      <c r="A49" t="s">
        <v>602</v>
      </c>
      <c r="B49" s="51" t="s">
        <v>603</v>
      </c>
      <c r="C49" s="53"/>
      <c r="D49" s="44"/>
      <c r="E49" s="36" t="s">
        <v>139</v>
      </c>
      <c r="F49" s="36" t="s">
        <v>117</v>
      </c>
      <c r="G49" s="36" t="str">
        <f>CONCATENATE(E49,F49)</f>
        <v>TECHProcurement</v>
      </c>
      <c r="H49" s="63" t="s">
        <v>600</v>
      </c>
      <c r="I49" s="65" t="s">
        <v>601</v>
      </c>
      <c r="J49" s="119" t="e">
        <f>SUMIF(#REF!,'Price Table 8 CS'!$A49,#REF!)</f>
        <v>#REF!</v>
      </c>
      <c r="K49" s="119" t="e">
        <f>SUMIF(#REF!,'Price Table 8 CS'!$A49,#REF!)</f>
        <v>#REF!</v>
      </c>
      <c r="L49" s="119" t="e">
        <f>SUMIF(#REF!,'Price Table 8 CS'!$A49,#REF!)</f>
        <v>#REF!</v>
      </c>
      <c r="M49" s="119" t="e">
        <f>SUMIF(#REF!,'Price Table 8 CS'!$A49,#REF!)</f>
        <v>#REF!</v>
      </c>
      <c r="N49" s="119" t="e">
        <f>SUMIF(#REF!,'Price Table 8 CS'!$A49,#REF!)</f>
        <v>#REF!</v>
      </c>
      <c r="O49" s="119" t="e">
        <f>SUMIF(#REF!,'Price Table 8 CS'!$A49,#REF!)</f>
        <v>#REF!</v>
      </c>
      <c r="P49" s="119" t="e">
        <f>SUMIF(#REF!,'Price Table 8 CS'!$A49,#REF!)</f>
        <v>#REF!</v>
      </c>
      <c r="Q49" s="119" t="e">
        <f>SUMIF(#REF!,'Price Table 8 CS'!$A49,#REF!)</f>
        <v>#REF!</v>
      </c>
      <c r="R49" s="119" t="e">
        <f>SUMIF(#REF!,'Price Table 8 CS'!$A49,#REF!)</f>
        <v>#REF!</v>
      </c>
      <c r="S49" s="119" t="e">
        <f>SUMIF(#REF!,'Price Table 8 CS'!$A49,#REF!)</f>
        <v>#REF!</v>
      </c>
      <c r="T49" s="119" t="e">
        <f>SUMIF(#REF!,'Price Table 8 CS'!$A49,#REF!)</f>
        <v>#REF!</v>
      </c>
      <c r="U49" s="119" t="e">
        <f>SUMIF(#REF!,'Price Table 8 CS'!$A49,#REF!)</f>
        <v>#REF!</v>
      </c>
      <c r="V49" s="119" t="e">
        <f>SUMIF(#REF!,'Price Table 8 CS'!$A49,#REF!)</f>
        <v>#REF!</v>
      </c>
      <c r="W49" s="119" t="e">
        <f>SUMIF(#REF!,'Price Table 8 CS'!$A49,#REF!)</f>
        <v>#REF!</v>
      </c>
      <c r="X49" s="119" t="e">
        <f>SUMIF(#REF!,'Price Table 8 CS'!$A49,#REF!)</f>
        <v>#REF!</v>
      </c>
      <c r="Y49" s="119" t="e">
        <f>SUMIF(#REF!,'Price Table 8 CS'!$A49,#REF!)</f>
        <v>#REF!</v>
      </c>
      <c r="Z49" s="119" t="e">
        <f>SUMIF(#REF!,'Price Table 8 CS'!$A49,#REF!)</f>
        <v>#REF!</v>
      </c>
      <c r="AA49" s="119" t="e">
        <f>SUMIF(#REF!,'Price Table 8 CS'!$A49,#REF!)</f>
        <v>#REF!</v>
      </c>
      <c r="AB49" s="119" t="e">
        <f>SUMIF(#REF!,'Price Table 8 CS'!$A49,#REF!)</f>
        <v>#REF!</v>
      </c>
      <c r="AC49" s="119" t="e">
        <f>SUMIF(#REF!,'Price Table 8 CS'!$A49,#REF!)</f>
        <v>#REF!</v>
      </c>
      <c r="AD49" s="119" t="e">
        <f>SUMIF(#REF!,'Price Table 8 CS'!$A49,#REF!)</f>
        <v>#REF!</v>
      </c>
      <c r="AE49" s="119" t="e">
        <f>SUMIF(#REF!,'Price Table 8 CS'!$A49,#REF!)</f>
        <v>#REF!</v>
      </c>
      <c r="AF49" s="119" t="e">
        <f>SUMIF(#REF!,'Price Table 8 CS'!$A49,#REF!)</f>
        <v>#REF!</v>
      </c>
      <c r="AG49" s="119" t="e">
        <f>SUMIF(#REF!,'Price Table 8 CS'!$A49,#REF!)</f>
        <v>#REF!</v>
      </c>
      <c r="AH49" s="115" t="e">
        <f t="shared" si="0"/>
        <v>#REF!</v>
      </c>
      <c r="AI49" s="115" t="e">
        <f>SUMIF(#REF!,'Price Table 8 CS'!$A49,#REF!)</f>
        <v>#REF!</v>
      </c>
    </row>
    <row r="50" spans="1:36" s="16" customFormat="1">
      <c r="B50" s="45"/>
      <c r="C50" s="55"/>
      <c r="D50" s="56" t="s">
        <v>562</v>
      </c>
      <c r="E50" s="57"/>
      <c r="F50" s="57"/>
      <c r="G50" s="57"/>
      <c r="H50" s="63"/>
      <c r="I50" s="65"/>
      <c r="J50" s="119" t="e">
        <f>SUMIF(#REF!,'Price Table 8 CS'!$A50,#REF!)</f>
        <v>#REF!</v>
      </c>
      <c r="K50" s="119" t="e">
        <f>SUMIF(#REF!,'Price Table 8 CS'!$A50,#REF!)</f>
        <v>#REF!</v>
      </c>
      <c r="L50" s="119" t="e">
        <f>SUMIF(#REF!,'Price Table 8 CS'!$A50,#REF!)</f>
        <v>#REF!</v>
      </c>
      <c r="M50" s="119" t="e">
        <f>SUMIF(#REF!,'Price Table 8 CS'!$A50,#REF!)</f>
        <v>#REF!</v>
      </c>
      <c r="N50" s="119" t="e">
        <f>SUMIF(#REF!,'Price Table 8 CS'!$A50,#REF!)</f>
        <v>#REF!</v>
      </c>
      <c r="O50" s="119" t="e">
        <f>SUMIF(#REF!,'Price Table 8 CS'!$A50,#REF!)</f>
        <v>#REF!</v>
      </c>
      <c r="P50" s="119" t="e">
        <f>SUMIF(#REF!,'Price Table 8 CS'!$A50,#REF!)</f>
        <v>#REF!</v>
      </c>
      <c r="Q50" s="119" t="e">
        <f>SUMIF(#REF!,'Price Table 8 CS'!$A50,#REF!)</f>
        <v>#REF!</v>
      </c>
      <c r="R50" s="119" t="e">
        <f>SUMIF(#REF!,'Price Table 8 CS'!$A50,#REF!)</f>
        <v>#REF!</v>
      </c>
      <c r="S50" s="119" t="e">
        <f>SUMIF(#REF!,'Price Table 8 CS'!$A50,#REF!)</f>
        <v>#REF!</v>
      </c>
      <c r="T50" s="119" t="e">
        <f>SUMIF(#REF!,'Price Table 8 CS'!$A50,#REF!)</f>
        <v>#REF!</v>
      </c>
      <c r="U50" s="119" t="e">
        <f>SUMIF(#REF!,'Price Table 8 CS'!$A50,#REF!)</f>
        <v>#REF!</v>
      </c>
      <c r="V50" s="119" t="e">
        <f>SUMIF(#REF!,'Price Table 8 CS'!$A50,#REF!)</f>
        <v>#REF!</v>
      </c>
      <c r="W50" s="119" t="e">
        <f>SUMIF(#REF!,'Price Table 8 CS'!$A50,#REF!)</f>
        <v>#REF!</v>
      </c>
      <c r="X50" s="119" t="e">
        <f>SUMIF(#REF!,'Price Table 8 CS'!$A50,#REF!)</f>
        <v>#REF!</v>
      </c>
      <c r="Y50" s="119" t="e">
        <f>SUMIF(#REF!,'Price Table 8 CS'!$A50,#REF!)</f>
        <v>#REF!</v>
      </c>
      <c r="Z50" s="119" t="e">
        <f>SUMIF(#REF!,'Price Table 8 CS'!$A50,#REF!)</f>
        <v>#REF!</v>
      </c>
      <c r="AA50" s="119" t="e">
        <f>SUMIF(#REF!,'Price Table 8 CS'!$A50,#REF!)</f>
        <v>#REF!</v>
      </c>
      <c r="AB50" s="119" t="e">
        <f>SUMIF(#REF!,'Price Table 8 CS'!$A50,#REF!)</f>
        <v>#REF!</v>
      </c>
      <c r="AC50" s="119" t="e">
        <f>SUMIF(#REF!,'Price Table 8 CS'!$A50,#REF!)</f>
        <v>#REF!</v>
      </c>
      <c r="AD50" s="119" t="e">
        <f>SUMIF(#REF!,'Price Table 8 CS'!$A50,#REF!)</f>
        <v>#REF!</v>
      </c>
      <c r="AE50" s="119" t="e">
        <f>SUMIF(#REF!,'Price Table 8 CS'!$A50,#REF!)</f>
        <v>#REF!</v>
      </c>
      <c r="AF50" s="119" t="e">
        <f>SUMIF(#REF!,'Price Table 8 CS'!$A50,#REF!)</f>
        <v>#REF!</v>
      </c>
      <c r="AG50" s="119" t="e">
        <f>SUMIF(#REF!,'Price Table 8 CS'!$A50,#REF!)</f>
        <v>#REF!</v>
      </c>
      <c r="AH50" s="115" t="e">
        <f t="shared" si="0"/>
        <v>#REF!</v>
      </c>
      <c r="AI50" s="115" t="e">
        <f>SUMIF(#REF!,'Price Table 8 CS'!$A50,#REF!)</f>
        <v>#REF!</v>
      </c>
      <c r="AJ50" s="390"/>
    </row>
    <row r="51" spans="1:36">
      <c r="B51" s="48" t="s">
        <v>604</v>
      </c>
      <c r="C51" s="52"/>
      <c r="D51" s="50"/>
      <c r="H51" s="17"/>
      <c r="J51" s="119" t="e">
        <f>SUMIF(#REF!,'Price Table 8 CS'!$A51,#REF!)</f>
        <v>#REF!</v>
      </c>
      <c r="K51" s="119" t="e">
        <f>SUMIF(#REF!,'Price Table 8 CS'!$A51,#REF!)</f>
        <v>#REF!</v>
      </c>
      <c r="L51" s="119" t="e">
        <f>SUMIF(#REF!,'Price Table 8 CS'!$A51,#REF!)</f>
        <v>#REF!</v>
      </c>
      <c r="M51" s="119" t="e">
        <f>SUMIF(#REF!,'Price Table 8 CS'!$A51,#REF!)</f>
        <v>#REF!</v>
      </c>
      <c r="N51" s="119" t="e">
        <f>SUMIF(#REF!,'Price Table 8 CS'!$A51,#REF!)</f>
        <v>#REF!</v>
      </c>
      <c r="O51" s="119" t="e">
        <f>SUMIF(#REF!,'Price Table 8 CS'!$A51,#REF!)</f>
        <v>#REF!</v>
      </c>
      <c r="P51" s="119" t="e">
        <f>SUMIF(#REF!,'Price Table 8 CS'!$A51,#REF!)</f>
        <v>#REF!</v>
      </c>
      <c r="Q51" s="119" t="e">
        <f>SUMIF(#REF!,'Price Table 8 CS'!$A51,#REF!)</f>
        <v>#REF!</v>
      </c>
      <c r="R51" s="119" t="e">
        <f>SUMIF(#REF!,'Price Table 8 CS'!$A51,#REF!)</f>
        <v>#REF!</v>
      </c>
      <c r="S51" s="119" t="e">
        <f>SUMIF(#REF!,'Price Table 8 CS'!$A51,#REF!)</f>
        <v>#REF!</v>
      </c>
      <c r="T51" s="119" t="e">
        <f>SUMIF(#REF!,'Price Table 8 CS'!$A51,#REF!)</f>
        <v>#REF!</v>
      </c>
      <c r="U51" s="119" t="e">
        <f>SUMIF(#REF!,'Price Table 8 CS'!$A51,#REF!)</f>
        <v>#REF!</v>
      </c>
      <c r="V51" s="119" t="e">
        <f>SUMIF(#REF!,'Price Table 8 CS'!$A51,#REF!)</f>
        <v>#REF!</v>
      </c>
      <c r="W51" s="119" t="e">
        <f>SUMIF(#REF!,'Price Table 8 CS'!$A51,#REF!)</f>
        <v>#REF!</v>
      </c>
      <c r="X51" s="119" t="e">
        <f>SUMIF(#REF!,'Price Table 8 CS'!$A51,#REF!)</f>
        <v>#REF!</v>
      </c>
      <c r="Y51" s="119" t="e">
        <f>SUMIF(#REF!,'Price Table 8 CS'!$A51,#REF!)</f>
        <v>#REF!</v>
      </c>
      <c r="Z51" s="119" t="e">
        <f>SUMIF(#REF!,'Price Table 8 CS'!$A51,#REF!)</f>
        <v>#REF!</v>
      </c>
      <c r="AA51" s="119" t="e">
        <f>SUMIF(#REF!,'Price Table 8 CS'!$A51,#REF!)</f>
        <v>#REF!</v>
      </c>
      <c r="AB51" s="119" t="e">
        <f>SUMIF(#REF!,'Price Table 8 CS'!$A51,#REF!)</f>
        <v>#REF!</v>
      </c>
      <c r="AC51" s="119" t="e">
        <f>SUMIF(#REF!,'Price Table 8 CS'!$A51,#REF!)</f>
        <v>#REF!</v>
      </c>
      <c r="AD51" s="119" t="e">
        <f>SUMIF(#REF!,'Price Table 8 CS'!$A51,#REF!)</f>
        <v>#REF!</v>
      </c>
      <c r="AE51" s="119" t="e">
        <f>SUMIF(#REF!,'Price Table 8 CS'!$A51,#REF!)</f>
        <v>#REF!</v>
      </c>
      <c r="AF51" s="119" t="e">
        <f>SUMIF(#REF!,'Price Table 8 CS'!$A51,#REF!)</f>
        <v>#REF!</v>
      </c>
      <c r="AG51" s="119" t="e">
        <f>SUMIF(#REF!,'Price Table 8 CS'!$A51,#REF!)</f>
        <v>#REF!</v>
      </c>
      <c r="AH51" s="115" t="e">
        <f t="shared" si="0"/>
        <v>#REF!</v>
      </c>
      <c r="AI51" s="115" t="e">
        <f>SUMIF(#REF!,'Price Table 8 CS'!$A51,#REF!)</f>
        <v>#REF!</v>
      </c>
    </row>
    <row r="52" spans="1:36">
      <c r="A52" t="s">
        <v>336</v>
      </c>
      <c r="B52" s="51" t="s">
        <v>605</v>
      </c>
      <c r="C52" s="53"/>
      <c r="D52" s="44"/>
      <c r="E52" s="36" t="s">
        <v>139</v>
      </c>
      <c r="F52" s="36" t="s">
        <v>13</v>
      </c>
      <c r="G52" s="36" t="str">
        <f>CONCATENATE(E52,F52)</f>
        <v>TECHManpower</v>
      </c>
      <c r="H52" s="63">
        <v>490600</v>
      </c>
      <c r="J52" s="119" t="e">
        <f>SUMIF(#REF!,'Price Table 8 CS'!$A52,#REF!)</f>
        <v>#REF!</v>
      </c>
      <c r="K52" s="119" t="e">
        <f>SUMIF(#REF!,'Price Table 8 CS'!$A52,#REF!)</f>
        <v>#REF!</v>
      </c>
      <c r="L52" s="119" t="e">
        <f>SUMIF(#REF!,'Price Table 8 CS'!$A52,#REF!)</f>
        <v>#REF!</v>
      </c>
      <c r="M52" s="119" t="e">
        <f>SUMIF(#REF!,'Price Table 8 CS'!$A52,#REF!)</f>
        <v>#REF!</v>
      </c>
      <c r="N52" s="119" t="e">
        <f>SUMIF(#REF!,'Price Table 8 CS'!$A52,#REF!)</f>
        <v>#REF!</v>
      </c>
      <c r="O52" s="119" t="e">
        <f>SUMIF(#REF!,'Price Table 8 CS'!$A52,#REF!)</f>
        <v>#REF!</v>
      </c>
      <c r="P52" s="119" t="e">
        <f>SUMIF(#REF!,'Price Table 8 CS'!$A52,#REF!)</f>
        <v>#REF!</v>
      </c>
      <c r="Q52" s="119" t="e">
        <f>SUMIF(#REF!,'Price Table 8 CS'!$A52,#REF!)</f>
        <v>#REF!</v>
      </c>
      <c r="R52" s="119" t="e">
        <f>SUMIF(#REF!,'Price Table 8 CS'!$A52,#REF!)</f>
        <v>#REF!</v>
      </c>
      <c r="S52" s="119" t="e">
        <f>SUMIF(#REF!,'Price Table 8 CS'!$A52,#REF!)</f>
        <v>#REF!</v>
      </c>
      <c r="T52" s="119" t="e">
        <f>SUMIF(#REF!,'Price Table 8 CS'!$A52,#REF!)</f>
        <v>#REF!</v>
      </c>
      <c r="U52" s="119" t="e">
        <f>SUMIF(#REF!,'Price Table 8 CS'!$A52,#REF!)</f>
        <v>#REF!</v>
      </c>
      <c r="V52" s="119" t="e">
        <f>SUMIF(#REF!,'Price Table 8 CS'!$A52,#REF!)</f>
        <v>#REF!</v>
      </c>
      <c r="W52" s="119" t="e">
        <f>SUMIF(#REF!,'Price Table 8 CS'!$A52,#REF!)</f>
        <v>#REF!</v>
      </c>
      <c r="X52" s="119" t="e">
        <f>SUMIF(#REF!,'Price Table 8 CS'!$A52,#REF!)</f>
        <v>#REF!</v>
      </c>
      <c r="Y52" s="119" t="e">
        <f>SUMIF(#REF!,'Price Table 8 CS'!$A52,#REF!)</f>
        <v>#REF!</v>
      </c>
      <c r="Z52" s="119" t="e">
        <f>SUMIF(#REF!,'Price Table 8 CS'!$A52,#REF!)</f>
        <v>#REF!</v>
      </c>
      <c r="AA52" s="119" t="e">
        <f>SUMIF(#REF!,'Price Table 8 CS'!$A52,#REF!)</f>
        <v>#REF!</v>
      </c>
      <c r="AB52" s="119" t="e">
        <f>SUMIF(#REF!,'Price Table 8 CS'!$A52,#REF!)</f>
        <v>#REF!</v>
      </c>
      <c r="AC52" s="119" t="e">
        <f>SUMIF(#REF!,'Price Table 8 CS'!$A52,#REF!)</f>
        <v>#REF!</v>
      </c>
      <c r="AD52" s="119" t="e">
        <f>SUMIF(#REF!,'Price Table 8 CS'!$A52,#REF!)</f>
        <v>#REF!</v>
      </c>
      <c r="AE52" s="119" t="e">
        <f>SUMIF(#REF!,'Price Table 8 CS'!$A52,#REF!)</f>
        <v>#REF!</v>
      </c>
      <c r="AF52" s="119" t="e">
        <f>SUMIF(#REF!,'Price Table 8 CS'!$A52,#REF!)</f>
        <v>#REF!</v>
      </c>
      <c r="AG52" s="119" t="e">
        <f>SUMIF(#REF!,'Price Table 8 CS'!$A52,#REF!)</f>
        <v>#REF!</v>
      </c>
      <c r="AH52" s="115" t="e">
        <f t="shared" si="0"/>
        <v>#REF!</v>
      </c>
      <c r="AI52" s="115" t="e">
        <f>SUMIF(#REF!,'Price Table 8 CS'!$A52,#REF!)</f>
        <v>#REF!</v>
      </c>
    </row>
    <row r="53" spans="1:36">
      <c r="A53" t="s">
        <v>606</v>
      </c>
      <c r="B53" s="51" t="s">
        <v>607</v>
      </c>
      <c r="C53" s="53"/>
      <c r="D53" s="44"/>
      <c r="E53" s="36" t="s">
        <v>139</v>
      </c>
      <c r="F53" s="36" t="s">
        <v>117</v>
      </c>
      <c r="G53" s="36" t="str">
        <f>CONCATENATE(E53,F53)</f>
        <v>TECHProcurement</v>
      </c>
      <c r="H53" s="63">
        <v>490600</v>
      </c>
      <c r="J53" s="119" t="e">
        <f>SUMIF(#REF!,'Price Table 8 CS'!$A53,#REF!)</f>
        <v>#REF!</v>
      </c>
      <c r="K53" s="119" t="e">
        <f>SUMIF(#REF!,'Price Table 8 CS'!$A53,#REF!)</f>
        <v>#REF!</v>
      </c>
      <c r="L53" s="119" t="e">
        <f>SUMIF(#REF!,'Price Table 8 CS'!$A53,#REF!)</f>
        <v>#REF!</v>
      </c>
      <c r="M53" s="119" t="e">
        <f>SUMIF(#REF!,'Price Table 8 CS'!$A53,#REF!)</f>
        <v>#REF!</v>
      </c>
      <c r="N53" s="119" t="e">
        <f>SUMIF(#REF!,'Price Table 8 CS'!$A53,#REF!)</f>
        <v>#REF!</v>
      </c>
      <c r="O53" s="119" t="e">
        <f>SUMIF(#REF!,'Price Table 8 CS'!$A53,#REF!)</f>
        <v>#REF!</v>
      </c>
      <c r="P53" s="119" t="e">
        <f>SUMIF(#REF!,'Price Table 8 CS'!$A53,#REF!)</f>
        <v>#REF!</v>
      </c>
      <c r="Q53" s="119" t="e">
        <f>SUMIF(#REF!,'Price Table 8 CS'!$A53,#REF!)</f>
        <v>#REF!</v>
      </c>
      <c r="R53" s="119" t="e">
        <f>SUMIF(#REF!,'Price Table 8 CS'!$A53,#REF!)</f>
        <v>#REF!</v>
      </c>
      <c r="S53" s="119" t="e">
        <f>SUMIF(#REF!,'Price Table 8 CS'!$A53,#REF!)</f>
        <v>#REF!</v>
      </c>
      <c r="T53" s="119" t="e">
        <f>SUMIF(#REF!,'Price Table 8 CS'!$A53,#REF!)</f>
        <v>#REF!</v>
      </c>
      <c r="U53" s="119" t="e">
        <f>SUMIF(#REF!,'Price Table 8 CS'!$A53,#REF!)</f>
        <v>#REF!</v>
      </c>
      <c r="V53" s="119" t="e">
        <f>SUMIF(#REF!,'Price Table 8 CS'!$A53,#REF!)</f>
        <v>#REF!</v>
      </c>
      <c r="W53" s="119" t="e">
        <f>SUMIF(#REF!,'Price Table 8 CS'!$A53,#REF!)</f>
        <v>#REF!</v>
      </c>
      <c r="X53" s="119" t="e">
        <f>SUMIF(#REF!,'Price Table 8 CS'!$A53,#REF!)</f>
        <v>#REF!</v>
      </c>
      <c r="Y53" s="119" t="e">
        <f>SUMIF(#REF!,'Price Table 8 CS'!$A53,#REF!)</f>
        <v>#REF!</v>
      </c>
      <c r="Z53" s="119" t="e">
        <f>SUMIF(#REF!,'Price Table 8 CS'!$A53,#REF!)</f>
        <v>#REF!</v>
      </c>
      <c r="AA53" s="119" t="e">
        <f>SUMIF(#REF!,'Price Table 8 CS'!$A53,#REF!)</f>
        <v>#REF!</v>
      </c>
      <c r="AB53" s="119" t="e">
        <f>SUMIF(#REF!,'Price Table 8 CS'!$A53,#REF!)</f>
        <v>#REF!</v>
      </c>
      <c r="AC53" s="119" t="e">
        <f>SUMIF(#REF!,'Price Table 8 CS'!$A53,#REF!)</f>
        <v>#REF!</v>
      </c>
      <c r="AD53" s="119" t="e">
        <f>SUMIF(#REF!,'Price Table 8 CS'!$A53,#REF!)</f>
        <v>#REF!</v>
      </c>
      <c r="AE53" s="119" t="e">
        <f>SUMIF(#REF!,'Price Table 8 CS'!$A53,#REF!)</f>
        <v>#REF!</v>
      </c>
      <c r="AF53" s="119" t="e">
        <f>SUMIF(#REF!,'Price Table 8 CS'!$A53,#REF!)</f>
        <v>#REF!</v>
      </c>
      <c r="AG53" s="119" t="e">
        <f>SUMIF(#REF!,'Price Table 8 CS'!$A53,#REF!)</f>
        <v>#REF!</v>
      </c>
      <c r="AH53" s="115" t="e">
        <f t="shared" si="0"/>
        <v>#REF!</v>
      </c>
      <c r="AI53" s="115" t="e">
        <f>SUMIF(#REF!,'Price Table 8 CS'!$A53,#REF!)</f>
        <v>#REF!</v>
      </c>
    </row>
    <row r="54" spans="1:36" s="16" customFormat="1">
      <c r="B54" s="45"/>
      <c r="C54" s="55"/>
      <c r="D54" s="56" t="s">
        <v>562</v>
      </c>
      <c r="E54" s="57"/>
      <c r="F54" s="57"/>
      <c r="G54" s="57"/>
      <c r="H54" s="63"/>
      <c r="AH54" s="390"/>
      <c r="AI54" s="390"/>
      <c r="AJ54" s="390"/>
    </row>
    <row r="55" spans="1:36">
      <c r="B55" s="48" t="s">
        <v>608</v>
      </c>
      <c r="C55" s="52"/>
      <c r="D55" s="50"/>
      <c r="H55" s="17"/>
    </row>
    <row r="56" spans="1:36">
      <c r="A56" t="s">
        <v>331</v>
      </c>
      <c r="B56" s="51" t="s">
        <v>609</v>
      </c>
      <c r="C56" s="53"/>
      <c r="D56" s="44"/>
      <c r="E56" s="37" t="s">
        <v>14</v>
      </c>
      <c r="F56" s="36" t="s">
        <v>117</v>
      </c>
      <c r="G56" s="36" t="str">
        <f>CONCATENATE(E56,F56)</f>
        <v>MISSIONProcurement</v>
      </c>
      <c r="H56" s="16">
        <v>490540</v>
      </c>
      <c r="I56" s="65" t="s">
        <v>610</v>
      </c>
      <c r="J56" s="119" t="e">
        <f>SUMIF(#REF!,'Price Table 8 CS'!$A56,#REF!)</f>
        <v>#REF!</v>
      </c>
      <c r="K56" s="119" t="e">
        <f>SUMIF(#REF!,'Price Table 8 CS'!$A56,#REF!)</f>
        <v>#REF!</v>
      </c>
      <c r="L56" s="119" t="e">
        <f>SUMIF(#REF!,'Price Table 8 CS'!$A56,#REF!)</f>
        <v>#REF!</v>
      </c>
      <c r="M56" s="119" t="e">
        <f>SUMIF(#REF!,'Price Table 8 CS'!$A56,#REF!)</f>
        <v>#REF!</v>
      </c>
      <c r="N56" s="119" t="e">
        <f>SUMIF(#REF!,'Price Table 8 CS'!$A56,#REF!)</f>
        <v>#REF!</v>
      </c>
      <c r="O56" s="119" t="e">
        <f>SUMIF(#REF!,'Price Table 8 CS'!$A56,#REF!)</f>
        <v>#REF!</v>
      </c>
      <c r="P56" s="119" t="e">
        <f>SUMIF(#REF!,'Price Table 8 CS'!$A56,#REF!)</f>
        <v>#REF!</v>
      </c>
      <c r="Q56" s="119" t="e">
        <f>SUMIF(#REF!,'Price Table 8 CS'!$A56,#REF!)</f>
        <v>#REF!</v>
      </c>
      <c r="R56" s="119" t="e">
        <f>SUMIF(#REF!,'Price Table 8 CS'!$A56,#REF!)</f>
        <v>#REF!</v>
      </c>
      <c r="S56" s="119" t="e">
        <f>SUMIF(#REF!,'Price Table 8 CS'!$A56,#REF!)</f>
        <v>#REF!</v>
      </c>
      <c r="T56" s="119" t="e">
        <f>SUMIF(#REF!,'Price Table 8 CS'!$A56,#REF!)</f>
        <v>#REF!</v>
      </c>
      <c r="U56" s="119" t="e">
        <f>SUMIF(#REF!,'Price Table 8 CS'!$A56,#REF!)</f>
        <v>#REF!</v>
      </c>
      <c r="V56" s="119" t="e">
        <f>SUMIF(#REF!,'Price Table 8 CS'!$A56,#REF!)</f>
        <v>#REF!</v>
      </c>
      <c r="W56" s="119" t="e">
        <f>SUMIF(#REF!,'Price Table 8 CS'!$A56,#REF!)</f>
        <v>#REF!</v>
      </c>
      <c r="X56" s="119" t="e">
        <f>SUMIF(#REF!,'Price Table 8 CS'!$A56,#REF!)</f>
        <v>#REF!</v>
      </c>
      <c r="Y56" s="119" t="e">
        <f>SUMIF(#REF!,'Price Table 8 CS'!$A56,#REF!)</f>
        <v>#REF!</v>
      </c>
      <c r="Z56" s="119" t="e">
        <f>SUMIF(#REF!,'Price Table 8 CS'!$A56,#REF!)</f>
        <v>#REF!</v>
      </c>
      <c r="AA56" s="119" t="e">
        <f>SUMIF(#REF!,'Price Table 8 CS'!$A56,#REF!)</f>
        <v>#REF!</v>
      </c>
      <c r="AB56" s="119" t="e">
        <f>SUMIF(#REF!,'Price Table 8 CS'!$A56,#REF!)</f>
        <v>#REF!</v>
      </c>
      <c r="AC56" s="119" t="e">
        <f>SUMIF(#REF!,'Price Table 8 CS'!$A56,#REF!)</f>
        <v>#REF!</v>
      </c>
      <c r="AD56" s="119" t="e">
        <f>SUMIF(#REF!,'Price Table 8 CS'!$A56,#REF!)</f>
        <v>#REF!</v>
      </c>
      <c r="AE56" s="119" t="e">
        <f>SUMIF(#REF!,'Price Table 8 CS'!$A56,#REF!)</f>
        <v>#REF!</v>
      </c>
      <c r="AF56" s="119" t="e">
        <f>SUMIF(#REF!,'Price Table 8 CS'!$A56,#REF!)</f>
        <v>#REF!</v>
      </c>
      <c r="AG56" s="119" t="e">
        <f>SUMIF(#REF!,'Price Table 8 CS'!$A56,#REF!)</f>
        <v>#REF!</v>
      </c>
      <c r="AH56" s="115" t="e">
        <f t="shared" si="0"/>
        <v>#REF!</v>
      </c>
      <c r="AI56" s="115" t="e">
        <f>SUMIF(#REF!,'Price Table 8 CS'!$A56,#REF!)</f>
        <v>#REF!</v>
      </c>
    </row>
    <row r="57" spans="1:36" s="16" customFormat="1">
      <c r="B57" s="45"/>
      <c r="C57" s="55"/>
      <c r="D57" s="56" t="s">
        <v>562</v>
      </c>
      <c r="E57" s="57"/>
      <c r="F57" s="57"/>
      <c r="G57" s="57"/>
      <c r="H57" s="17"/>
      <c r="AH57" s="390"/>
      <c r="AI57" s="390"/>
      <c r="AJ57" s="390"/>
    </row>
    <row r="58" spans="1:36">
      <c r="B58" s="46" t="s">
        <v>611</v>
      </c>
      <c r="C58" s="47"/>
      <c r="D58" s="41"/>
      <c r="H58"/>
    </row>
    <row r="59" spans="1:36">
      <c r="B59" s="48" t="s">
        <v>612</v>
      </c>
      <c r="C59" s="49"/>
      <c r="D59" s="50"/>
      <c r="H59"/>
    </row>
    <row r="60" spans="1:36">
      <c r="A60" t="s">
        <v>230</v>
      </c>
      <c r="B60" s="51" t="s">
        <v>613</v>
      </c>
      <c r="C60" s="54"/>
      <c r="D60" s="44"/>
      <c r="E60" s="36" t="s">
        <v>139</v>
      </c>
      <c r="F60" s="36" t="s">
        <v>13</v>
      </c>
      <c r="G60" s="36" t="str">
        <f>CONCATENATE(E60,F60)</f>
        <v>TECHManpower</v>
      </c>
      <c r="H60" s="17" t="s">
        <v>614</v>
      </c>
      <c r="J60" s="119" t="e">
        <f>SUMIF(#REF!,'Price Table 8 CS'!$A60,#REF!)</f>
        <v>#REF!</v>
      </c>
      <c r="K60" s="119" t="e">
        <f>SUMIF(#REF!,'Price Table 8 CS'!$A60,#REF!)</f>
        <v>#REF!</v>
      </c>
      <c r="L60" s="119" t="e">
        <f>SUMIF(#REF!,'Price Table 8 CS'!$A60,#REF!)</f>
        <v>#REF!</v>
      </c>
      <c r="M60" s="119" t="e">
        <f>SUMIF(#REF!,'Price Table 8 CS'!$A60,#REF!)</f>
        <v>#REF!</v>
      </c>
      <c r="N60" s="119" t="e">
        <f>SUMIF(#REF!,'Price Table 8 CS'!$A60,#REF!)</f>
        <v>#REF!</v>
      </c>
      <c r="O60" s="119" t="e">
        <f>SUMIF(#REF!,'Price Table 8 CS'!$A60,#REF!)</f>
        <v>#REF!</v>
      </c>
      <c r="P60" s="119" t="e">
        <f>SUMIF(#REF!,'Price Table 8 CS'!$A60,#REF!)</f>
        <v>#REF!</v>
      </c>
      <c r="Q60" s="119" t="e">
        <f>SUMIF(#REF!,'Price Table 8 CS'!$A60,#REF!)</f>
        <v>#REF!</v>
      </c>
      <c r="R60" s="119" t="e">
        <f>SUMIF(#REF!,'Price Table 8 CS'!$A60,#REF!)</f>
        <v>#REF!</v>
      </c>
      <c r="S60" s="119" t="e">
        <f>SUMIF(#REF!,'Price Table 8 CS'!$A60,#REF!)</f>
        <v>#REF!</v>
      </c>
      <c r="T60" s="119" t="e">
        <f>SUMIF(#REF!,'Price Table 8 CS'!$A60,#REF!)</f>
        <v>#REF!</v>
      </c>
      <c r="U60" s="119" t="e">
        <f>SUMIF(#REF!,'Price Table 8 CS'!$A60,#REF!)</f>
        <v>#REF!</v>
      </c>
      <c r="V60" s="119" t="e">
        <f>SUMIF(#REF!,'Price Table 8 CS'!$A60,#REF!)</f>
        <v>#REF!</v>
      </c>
      <c r="W60" s="119" t="e">
        <f>SUMIF(#REF!,'Price Table 8 CS'!$A60,#REF!)</f>
        <v>#REF!</v>
      </c>
      <c r="X60" s="119" t="e">
        <f>SUMIF(#REF!,'Price Table 8 CS'!$A60,#REF!)</f>
        <v>#REF!</v>
      </c>
      <c r="Y60" s="119" t="e">
        <f>SUMIF(#REF!,'Price Table 8 CS'!$A60,#REF!)</f>
        <v>#REF!</v>
      </c>
      <c r="Z60" s="119" t="e">
        <f>SUMIF(#REF!,'Price Table 8 CS'!$A60,#REF!)</f>
        <v>#REF!</v>
      </c>
      <c r="AA60" s="119" t="e">
        <f>SUMIF(#REF!,'Price Table 8 CS'!$A60,#REF!)</f>
        <v>#REF!</v>
      </c>
      <c r="AB60" s="119" t="e">
        <f>SUMIF(#REF!,'Price Table 8 CS'!$A60,#REF!)</f>
        <v>#REF!</v>
      </c>
      <c r="AC60" s="119" t="e">
        <f>SUMIF(#REF!,'Price Table 8 CS'!$A60,#REF!)</f>
        <v>#REF!</v>
      </c>
      <c r="AD60" s="119" t="e">
        <f>SUMIF(#REF!,'Price Table 8 CS'!$A60,#REF!)</f>
        <v>#REF!</v>
      </c>
      <c r="AE60" s="119" t="e">
        <f>SUMIF(#REF!,'Price Table 8 CS'!$A60,#REF!)</f>
        <v>#REF!</v>
      </c>
      <c r="AF60" s="119" t="e">
        <f>SUMIF(#REF!,'Price Table 8 CS'!$A60,#REF!)</f>
        <v>#REF!</v>
      </c>
      <c r="AG60" s="119" t="e">
        <f>SUMIF(#REF!,'Price Table 8 CS'!$A60,#REF!)</f>
        <v>#REF!</v>
      </c>
      <c r="AH60" s="115" t="e">
        <f t="shared" si="0"/>
        <v>#REF!</v>
      </c>
      <c r="AI60" s="115" t="e">
        <f>SUMIF(#REF!,'Price Table 8 CS'!$A60,#REF!)</f>
        <v>#REF!</v>
      </c>
    </row>
    <row r="61" spans="1:36">
      <c r="A61" t="s">
        <v>138</v>
      </c>
      <c r="B61" s="51" t="s">
        <v>615</v>
      </c>
      <c r="C61" s="54"/>
      <c r="D61" s="44"/>
      <c r="E61" s="36" t="s">
        <v>139</v>
      </c>
      <c r="F61" s="36" t="s">
        <v>117</v>
      </c>
      <c r="G61" s="36" t="str">
        <f>CONCATENATE(E61,F61)</f>
        <v>TECHProcurement</v>
      </c>
      <c r="H61" s="17" t="s">
        <v>616</v>
      </c>
      <c r="I61" s="65" t="s">
        <v>610</v>
      </c>
      <c r="J61" s="119" t="e">
        <f>SUMIF(#REF!,'Price Table 8 CS'!$A61,#REF!)</f>
        <v>#REF!</v>
      </c>
      <c r="K61" s="119" t="e">
        <f>SUMIF(#REF!,'Price Table 8 CS'!$A61,#REF!)</f>
        <v>#REF!</v>
      </c>
      <c r="L61" s="119" t="e">
        <f>SUMIF(#REF!,'Price Table 8 CS'!$A61,#REF!)</f>
        <v>#REF!</v>
      </c>
      <c r="M61" s="119" t="e">
        <f>SUMIF(#REF!,'Price Table 8 CS'!$A61,#REF!)</f>
        <v>#REF!</v>
      </c>
      <c r="N61" s="119" t="e">
        <f>SUMIF(#REF!,'Price Table 8 CS'!$A61,#REF!)</f>
        <v>#REF!</v>
      </c>
      <c r="O61" s="119" t="e">
        <f>SUMIF(#REF!,'Price Table 8 CS'!$A61,#REF!)</f>
        <v>#REF!</v>
      </c>
      <c r="P61" s="119" t="e">
        <f>SUMIF(#REF!,'Price Table 8 CS'!$A61,#REF!)</f>
        <v>#REF!</v>
      </c>
      <c r="Q61" s="119" t="e">
        <f>SUMIF(#REF!,'Price Table 8 CS'!$A61,#REF!)</f>
        <v>#REF!</v>
      </c>
      <c r="R61" s="119" t="e">
        <f>SUMIF(#REF!,'Price Table 8 CS'!$A61,#REF!)</f>
        <v>#REF!</v>
      </c>
      <c r="S61" s="119" t="e">
        <f>SUMIF(#REF!,'Price Table 8 CS'!$A61,#REF!)</f>
        <v>#REF!</v>
      </c>
      <c r="T61" s="119" t="e">
        <f>SUMIF(#REF!,'Price Table 8 CS'!$A61,#REF!)</f>
        <v>#REF!</v>
      </c>
      <c r="U61" s="119" t="e">
        <f>SUMIF(#REF!,'Price Table 8 CS'!$A61,#REF!)</f>
        <v>#REF!</v>
      </c>
      <c r="V61" s="119" t="e">
        <f>SUMIF(#REF!,'Price Table 8 CS'!$A61,#REF!)</f>
        <v>#REF!</v>
      </c>
      <c r="W61" s="119" t="e">
        <f>SUMIF(#REF!,'Price Table 8 CS'!$A61,#REF!)</f>
        <v>#REF!</v>
      </c>
      <c r="X61" s="119" t="e">
        <f>SUMIF(#REF!,'Price Table 8 CS'!$A61,#REF!)</f>
        <v>#REF!</v>
      </c>
      <c r="Y61" s="119" t="e">
        <f>SUMIF(#REF!,'Price Table 8 CS'!$A61,#REF!)</f>
        <v>#REF!</v>
      </c>
      <c r="Z61" s="119" t="e">
        <f>SUMIF(#REF!,'Price Table 8 CS'!$A61,#REF!)</f>
        <v>#REF!</v>
      </c>
      <c r="AA61" s="119" t="e">
        <f>SUMIF(#REF!,'Price Table 8 CS'!$A61,#REF!)</f>
        <v>#REF!</v>
      </c>
      <c r="AB61" s="119" t="e">
        <f>SUMIF(#REF!,'Price Table 8 CS'!$A61,#REF!)</f>
        <v>#REF!</v>
      </c>
      <c r="AC61" s="119" t="e">
        <f>SUMIF(#REF!,'Price Table 8 CS'!$A61,#REF!)</f>
        <v>#REF!</v>
      </c>
      <c r="AD61" s="119" t="e">
        <f>SUMIF(#REF!,'Price Table 8 CS'!$A61,#REF!)</f>
        <v>#REF!</v>
      </c>
      <c r="AE61" s="119" t="e">
        <f>SUMIF(#REF!,'Price Table 8 CS'!$A61,#REF!)</f>
        <v>#REF!</v>
      </c>
      <c r="AF61" s="119" t="e">
        <f>SUMIF(#REF!,'Price Table 8 CS'!$A61,#REF!)</f>
        <v>#REF!</v>
      </c>
      <c r="AG61" s="119" t="e">
        <f>SUMIF(#REF!,'Price Table 8 CS'!$A61,#REF!)</f>
        <v>#REF!</v>
      </c>
      <c r="AH61" s="115" t="e">
        <f t="shared" si="0"/>
        <v>#REF!</v>
      </c>
      <c r="AI61" s="115" t="e">
        <f>SUMIF(#REF!,'Price Table 8 CS'!$A61,#REF!)</f>
        <v>#REF!</v>
      </c>
    </row>
    <row r="62" spans="1:36" s="16" customFormat="1">
      <c r="B62" s="45"/>
      <c r="C62" s="55"/>
      <c r="D62" s="56" t="s">
        <v>562</v>
      </c>
      <c r="E62" s="57"/>
      <c r="F62" s="57"/>
      <c r="G62" s="57"/>
      <c r="H62" s="17"/>
      <c r="AH62" s="390"/>
      <c r="AI62" s="390"/>
      <c r="AJ62" s="390"/>
    </row>
    <row r="63" spans="1:36">
      <c r="B63" s="48" t="s">
        <v>617</v>
      </c>
      <c r="C63" s="49"/>
      <c r="D63" s="50"/>
      <c r="H63"/>
    </row>
    <row r="64" spans="1:36">
      <c r="A64" t="s">
        <v>293</v>
      </c>
      <c r="B64" s="51" t="s">
        <v>618</v>
      </c>
      <c r="C64" s="54"/>
      <c r="D64" s="44"/>
      <c r="E64" s="37" t="s">
        <v>139</v>
      </c>
      <c r="F64" s="36" t="s">
        <v>13</v>
      </c>
      <c r="G64" s="36" t="str">
        <f>CONCATENATE(E64,F64)</f>
        <v>TECHManpower</v>
      </c>
      <c r="H64" s="61">
        <v>480000</v>
      </c>
      <c r="I64" t="s">
        <v>619</v>
      </c>
      <c r="J64" s="119" t="e">
        <f>SUMIF(#REF!,'Price Table 8 CS'!$A64,#REF!)</f>
        <v>#REF!</v>
      </c>
      <c r="K64" s="119" t="e">
        <f>SUMIF(#REF!,'Price Table 8 CS'!$A64,#REF!)</f>
        <v>#REF!</v>
      </c>
      <c r="L64" s="119" t="e">
        <f>SUMIF(#REF!,'Price Table 8 CS'!$A64,#REF!)</f>
        <v>#REF!</v>
      </c>
      <c r="M64" s="119" t="e">
        <f>SUMIF(#REF!,'Price Table 8 CS'!$A64,#REF!)</f>
        <v>#REF!</v>
      </c>
      <c r="N64" s="119" t="e">
        <f>SUMIF(#REF!,'Price Table 8 CS'!$A64,#REF!)</f>
        <v>#REF!</v>
      </c>
      <c r="O64" s="119" t="e">
        <f>SUMIF(#REF!,'Price Table 8 CS'!$A64,#REF!)</f>
        <v>#REF!</v>
      </c>
      <c r="P64" s="119" t="e">
        <f>SUMIF(#REF!,'Price Table 8 CS'!$A64,#REF!)</f>
        <v>#REF!</v>
      </c>
      <c r="Q64" s="119" t="e">
        <f>SUMIF(#REF!,'Price Table 8 CS'!$A64,#REF!)</f>
        <v>#REF!</v>
      </c>
      <c r="R64" s="119" t="e">
        <f>SUMIF(#REF!,'Price Table 8 CS'!$A64,#REF!)</f>
        <v>#REF!</v>
      </c>
      <c r="S64" s="119" t="e">
        <f>SUMIF(#REF!,'Price Table 8 CS'!$A64,#REF!)</f>
        <v>#REF!</v>
      </c>
      <c r="T64" s="119" t="e">
        <f>SUMIF(#REF!,'Price Table 8 CS'!$A64,#REF!)</f>
        <v>#REF!</v>
      </c>
      <c r="U64" s="119" t="e">
        <f>SUMIF(#REF!,'Price Table 8 CS'!$A64,#REF!)</f>
        <v>#REF!</v>
      </c>
      <c r="V64" s="119" t="e">
        <f>SUMIF(#REF!,'Price Table 8 CS'!$A64,#REF!)</f>
        <v>#REF!</v>
      </c>
      <c r="W64" s="119" t="e">
        <f>SUMIF(#REF!,'Price Table 8 CS'!$A64,#REF!)</f>
        <v>#REF!</v>
      </c>
      <c r="X64" s="119" t="e">
        <f>SUMIF(#REF!,'Price Table 8 CS'!$A64,#REF!)</f>
        <v>#REF!</v>
      </c>
      <c r="Y64" s="119" t="e">
        <f>SUMIF(#REF!,'Price Table 8 CS'!$A64,#REF!)</f>
        <v>#REF!</v>
      </c>
      <c r="Z64" s="119" t="e">
        <f>SUMIF(#REF!,'Price Table 8 CS'!$A64,#REF!)</f>
        <v>#REF!</v>
      </c>
      <c r="AA64" s="119" t="e">
        <f>SUMIF(#REF!,'Price Table 8 CS'!$A64,#REF!)</f>
        <v>#REF!</v>
      </c>
      <c r="AB64" s="119" t="e">
        <f>SUMIF(#REF!,'Price Table 8 CS'!$A64,#REF!)</f>
        <v>#REF!</v>
      </c>
      <c r="AC64" s="119" t="e">
        <f>SUMIF(#REF!,'Price Table 8 CS'!$A64,#REF!)</f>
        <v>#REF!</v>
      </c>
      <c r="AD64" s="119" t="e">
        <f>SUMIF(#REF!,'Price Table 8 CS'!$A64,#REF!)</f>
        <v>#REF!</v>
      </c>
      <c r="AE64" s="119" t="e">
        <f>SUMIF(#REF!,'Price Table 8 CS'!$A64,#REF!)</f>
        <v>#REF!</v>
      </c>
      <c r="AF64" s="119" t="e">
        <f>SUMIF(#REF!,'Price Table 8 CS'!$A64,#REF!)</f>
        <v>#REF!</v>
      </c>
      <c r="AG64" s="119" t="e">
        <f>SUMIF(#REF!,'Price Table 8 CS'!$A64,#REF!)</f>
        <v>#REF!</v>
      </c>
      <c r="AH64" s="115" t="e">
        <f t="shared" si="0"/>
        <v>#REF!</v>
      </c>
      <c r="AI64" s="115" t="e">
        <f>SUMIF(#REF!,'Price Table 8 CS'!$A64,#REF!)</f>
        <v>#REF!</v>
      </c>
    </row>
    <row r="65" spans="1:36">
      <c r="A65" t="s">
        <v>620</v>
      </c>
      <c r="B65" s="51" t="s">
        <v>621</v>
      </c>
      <c r="C65" s="54"/>
      <c r="D65" s="44"/>
      <c r="E65" s="36" t="s">
        <v>139</v>
      </c>
      <c r="F65" s="36" t="s">
        <v>117</v>
      </c>
      <c r="G65" s="36" t="str">
        <f>CONCATENATE(E65,F65)</f>
        <v>TECHProcurement</v>
      </c>
      <c r="H65" s="61">
        <v>480000</v>
      </c>
      <c r="J65" s="119" t="e">
        <f>SUMIF(#REF!,'Price Table 8 CS'!$A65,#REF!)</f>
        <v>#REF!</v>
      </c>
      <c r="K65" s="119" t="e">
        <f>SUMIF(#REF!,'Price Table 8 CS'!$A65,#REF!)</f>
        <v>#REF!</v>
      </c>
      <c r="L65" s="119" t="e">
        <f>SUMIF(#REF!,'Price Table 8 CS'!$A65,#REF!)</f>
        <v>#REF!</v>
      </c>
      <c r="M65" s="119" t="e">
        <f>SUMIF(#REF!,'Price Table 8 CS'!$A65,#REF!)</f>
        <v>#REF!</v>
      </c>
      <c r="N65" s="119" t="e">
        <f>SUMIF(#REF!,'Price Table 8 CS'!$A65,#REF!)</f>
        <v>#REF!</v>
      </c>
      <c r="O65" s="119" t="e">
        <f>SUMIF(#REF!,'Price Table 8 CS'!$A65,#REF!)</f>
        <v>#REF!</v>
      </c>
      <c r="P65" s="119" t="e">
        <f>SUMIF(#REF!,'Price Table 8 CS'!$A65,#REF!)</f>
        <v>#REF!</v>
      </c>
      <c r="Q65" s="119" t="e">
        <f>SUMIF(#REF!,'Price Table 8 CS'!$A65,#REF!)</f>
        <v>#REF!</v>
      </c>
      <c r="R65" s="119" t="e">
        <f>SUMIF(#REF!,'Price Table 8 CS'!$A65,#REF!)</f>
        <v>#REF!</v>
      </c>
      <c r="S65" s="119" t="e">
        <f>SUMIF(#REF!,'Price Table 8 CS'!$A65,#REF!)</f>
        <v>#REF!</v>
      </c>
      <c r="T65" s="119" t="e">
        <f>SUMIF(#REF!,'Price Table 8 CS'!$A65,#REF!)</f>
        <v>#REF!</v>
      </c>
      <c r="U65" s="119" t="e">
        <f>SUMIF(#REF!,'Price Table 8 CS'!$A65,#REF!)</f>
        <v>#REF!</v>
      </c>
      <c r="V65" s="119" t="e">
        <f>SUMIF(#REF!,'Price Table 8 CS'!$A65,#REF!)</f>
        <v>#REF!</v>
      </c>
      <c r="W65" s="119" t="e">
        <f>SUMIF(#REF!,'Price Table 8 CS'!$A65,#REF!)</f>
        <v>#REF!</v>
      </c>
      <c r="X65" s="119" t="e">
        <f>SUMIF(#REF!,'Price Table 8 CS'!$A65,#REF!)</f>
        <v>#REF!</v>
      </c>
      <c r="Y65" s="119" t="e">
        <f>SUMIF(#REF!,'Price Table 8 CS'!$A65,#REF!)</f>
        <v>#REF!</v>
      </c>
      <c r="Z65" s="119" t="e">
        <f>SUMIF(#REF!,'Price Table 8 CS'!$A65,#REF!)</f>
        <v>#REF!</v>
      </c>
      <c r="AA65" s="119" t="e">
        <f>SUMIF(#REF!,'Price Table 8 CS'!$A65,#REF!)</f>
        <v>#REF!</v>
      </c>
      <c r="AB65" s="119" t="e">
        <f>SUMIF(#REF!,'Price Table 8 CS'!$A65,#REF!)</f>
        <v>#REF!</v>
      </c>
      <c r="AC65" s="119" t="e">
        <f>SUMIF(#REF!,'Price Table 8 CS'!$A65,#REF!)</f>
        <v>#REF!</v>
      </c>
      <c r="AD65" s="119" t="e">
        <f>SUMIF(#REF!,'Price Table 8 CS'!$A65,#REF!)</f>
        <v>#REF!</v>
      </c>
      <c r="AE65" s="119" t="e">
        <f>SUMIF(#REF!,'Price Table 8 CS'!$A65,#REF!)</f>
        <v>#REF!</v>
      </c>
      <c r="AF65" s="119" t="e">
        <f>SUMIF(#REF!,'Price Table 8 CS'!$A65,#REF!)</f>
        <v>#REF!</v>
      </c>
      <c r="AG65" s="119" t="e">
        <f>SUMIF(#REF!,'Price Table 8 CS'!$A65,#REF!)</f>
        <v>#REF!</v>
      </c>
      <c r="AH65" s="115" t="e">
        <f t="shared" si="0"/>
        <v>#REF!</v>
      </c>
      <c r="AI65" s="115" t="e">
        <f>SUMIF(#REF!,'Price Table 8 CS'!$A65,#REF!)</f>
        <v>#REF!</v>
      </c>
    </row>
    <row r="66" spans="1:36" s="16" customFormat="1">
      <c r="B66" s="45"/>
      <c r="C66" s="55"/>
      <c r="D66" s="56" t="s">
        <v>562</v>
      </c>
      <c r="E66" s="57"/>
      <c r="F66" s="57"/>
      <c r="G66" s="57"/>
      <c r="H66" s="17"/>
      <c r="AH66" s="390"/>
      <c r="AI66" s="390"/>
      <c r="AJ66" s="390"/>
    </row>
    <row r="67" spans="1:36">
      <c r="A67" t="s">
        <v>377</v>
      </c>
      <c r="B67" s="48" t="s">
        <v>622</v>
      </c>
      <c r="C67" s="49"/>
      <c r="D67" s="50"/>
      <c r="E67" s="36" t="s">
        <v>139</v>
      </c>
      <c r="F67" s="36" t="s">
        <v>117</v>
      </c>
      <c r="G67" s="36" t="str">
        <f>CONCATENATE(E67,F67)</f>
        <v>TECHProcurement</v>
      </c>
      <c r="H67" s="16">
        <v>540000</v>
      </c>
      <c r="J67" s="119" t="e">
        <f>SUMIF(#REF!,'Price Table 8 CS'!$A67,#REF!)</f>
        <v>#REF!</v>
      </c>
      <c r="K67" s="119" t="e">
        <f>SUMIF(#REF!,'Price Table 8 CS'!$A67,#REF!)</f>
        <v>#REF!</v>
      </c>
      <c r="L67" s="119" t="e">
        <f>SUMIF(#REF!,'Price Table 8 CS'!$A67,#REF!)</f>
        <v>#REF!</v>
      </c>
      <c r="M67" s="119" t="e">
        <f>SUMIF(#REF!,'Price Table 8 CS'!$A67,#REF!)</f>
        <v>#REF!</v>
      </c>
      <c r="N67" s="119" t="e">
        <f>SUMIF(#REF!,'Price Table 8 CS'!$A67,#REF!)</f>
        <v>#REF!</v>
      </c>
      <c r="O67" s="119" t="e">
        <f>SUMIF(#REF!,'Price Table 8 CS'!$A67,#REF!)</f>
        <v>#REF!</v>
      </c>
      <c r="P67" s="119" t="e">
        <f>SUMIF(#REF!,'Price Table 8 CS'!$A67,#REF!)</f>
        <v>#REF!</v>
      </c>
      <c r="Q67" s="119" t="e">
        <f>SUMIF(#REF!,'Price Table 8 CS'!$A67,#REF!)</f>
        <v>#REF!</v>
      </c>
      <c r="R67" s="119" t="e">
        <f>SUMIF(#REF!,'Price Table 8 CS'!$A67,#REF!)</f>
        <v>#REF!</v>
      </c>
      <c r="S67" s="119" t="e">
        <f>SUMIF(#REF!,'Price Table 8 CS'!$A67,#REF!)</f>
        <v>#REF!</v>
      </c>
      <c r="T67" s="119" t="e">
        <f>SUMIF(#REF!,'Price Table 8 CS'!$A67,#REF!)</f>
        <v>#REF!</v>
      </c>
      <c r="U67" s="119" t="e">
        <f>SUMIF(#REF!,'Price Table 8 CS'!$A67,#REF!)</f>
        <v>#REF!</v>
      </c>
      <c r="V67" s="119" t="e">
        <f>SUMIF(#REF!,'Price Table 8 CS'!$A67,#REF!)</f>
        <v>#REF!</v>
      </c>
      <c r="W67" s="119" t="e">
        <f>SUMIF(#REF!,'Price Table 8 CS'!$A67,#REF!)</f>
        <v>#REF!</v>
      </c>
      <c r="X67" s="119" t="e">
        <f>SUMIF(#REF!,'Price Table 8 CS'!$A67,#REF!)</f>
        <v>#REF!</v>
      </c>
      <c r="Y67" s="119" t="e">
        <f>SUMIF(#REF!,'Price Table 8 CS'!$A67,#REF!)</f>
        <v>#REF!</v>
      </c>
      <c r="Z67" s="119" t="e">
        <f>SUMIF(#REF!,'Price Table 8 CS'!$A67,#REF!)</f>
        <v>#REF!</v>
      </c>
      <c r="AA67" s="119" t="e">
        <f>SUMIF(#REF!,'Price Table 8 CS'!$A67,#REF!)</f>
        <v>#REF!</v>
      </c>
      <c r="AB67" s="119" t="e">
        <f>SUMIF(#REF!,'Price Table 8 CS'!$A67,#REF!)</f>
        <v>#REF!</v>
      </c>
      <c r="AC67" s="119" t="e">
        <f>SUMIF(#REF!,'Price Table 8 CS'!$A67,#REF!)</f>
        <v>#REF!</v>
      </c>
      <c r="AD67" s="119" t="e">
        <f>SUMIF(#REF!,'Price Table 8 CS'!$A67,#REF!)</f>
        <v>#REF!</v>
      </c>
      <c r="AE67" s="119" t="e">
        <f>SUMIF(#REF!,'Price Table 8 CS'!$A67,#REF!)</f>
        <v>#REF!</v>
      </c>
      <c r="AF67" s="119" t="e">
        <f>SUMIF(#REF!,'Price Table 8 CS'!$A67,#REF!)</f>
        <v>#REF!</v>
      </c>
      <c r="AG67" s="119" t="e">
        <f>SUMIF(#REF!,'Price Table 8 CS'!$A67,#REF!)</f>
        <v>#REF!</v>
      </c>
      <c r="AH67" s="115" t="e">
        <f t="shared" si="0"/>
        <v>#REF!</v>
      </c>
      <c r="AI67" s="115" t="e">
        <f>SUMIF(#REF!,'Price Table 8 CS'!$A67,#REF!)</f>
        <v>#REF!</v>
      </c>
    </row>
    <row r="68" spans="1:36">
      <c r="B68" s="20" t="s">
        <v>623</v>
      </c>
      <c r="C68" s="21"/>
      <c r="D68" s="22"/>
      <c r="H68"/>
    </row>
    <row r="69" spans="1:36" ht="21.95" customHeight="1">
      <c r="B69" s="23"/>
      <c r="C69" s="5"/>
      <c r="D69" s="5"/>
      <c r="E69"/>
      <c r="F69"/>
      <c r="G69"/>
      <c r="H69"/>
      <c r="U69" s="67"/>
      <c r="AH69" s="115">
        <f t="shared" si="0"/>
        <v>0</v>
      </c>
      <c r="AI69" s="115" t="e">
        <f>SUMIF(#REF!,'Price Table 8 CS'!$A69,#REF!)</f>
        <v>#REF!</v>
      </c>
    </row>
    <row r="70" spans="1:36" ht="21.95" customHeight="1">
      <c r="A70" t="s">
        <v>9</v>
      </c>
      <c r="B70" s="12" t="s">
        <v>624</v>
      </c>
      <c r="C70" s="13"/>
      <c r="D70" s="14"/>
      <c r="E70" s="37" t="s">
        <v>14</v>
      </c>
      <c r="F70" s="36" t="s">
        <v>117</v>
      </c>
      <c r="G70" s="36" t="str">
        <f>CONCATENATE(E70,F70)</f>
        <v>MISSIONProcurement</v>
      </c>
      <c r="H70" s="16">
        <v>320000</v>
      </c>
      <c r="J70" s="119"/>
      <c r="K70" s="28"/>
      <c r="L70" s="28"/>
      <c r="M70" s="28"/>
      <c r="N70" s="28"/>
      <c r="O70" s="28"/>
      <c r="P70" s="28"/>
      <c r="Q70" s="28"/>
      <c r="R70" s="28"/>
      <c r="S70" s="28"/>
      <c r="T70" s="28"/>
      <c r="U70" s="28"/>
      <c r="V70" s="28"/>
      <c r="W70" s="28"/>
      <c r="X70" s="28"/>
      <c r="Y70" s="28"/>
      <c r="Z70" s="28"/>
      <c r="AA70" s="28"/>
      <c r="AB70" s="28"/>
      <c r="AC70" s="28"/>
      <c r="AD70" s="28"/>
      <c r="AE70" s="28"/>
      <c r="AF70" s="28"/>
      <c r="AG70" s="28"/>
      <c r="AH70" s="115">
        <f t="shared" si="0"/>
        <v>0</v>
      </c>
      <c r="AI70" s="115" t="e">
        <f>SUMIF(#REF!,'Price Table 8 CS'!$A70,#REF!)</f>
        <v>#REF!</v>
      </c>
    </row>
    <row r="71" spans="1:36" ht="21.95" customHeight="1">
      <c r="B71" s="5"/>
      <c r="C71" s="5"/>
      <c r="D71" s="5"/>
      <c r="E71"/>
      <c r="F71"/>
      <c r="G71"/>
      <c r="H71"/>
      <c r="AH71" s="115">
        <f t="shared" si="0"/>
        <v>0</v>
      </c>
      <c r="AI71" s="115" t="e">
        <f>SUMIF(#REF!,'Price Table 8 CS'!$A71,#REF!)</f>
        <v>#REF!</v>
      </c>
    </row>
    <row r="72" spans="1:36">
      <c r="B72" s="23"/>
      <c r="C72" s="5"/>
      <c r="D72" s="5"/>
      <c r="H72"/>
      <c r="J72" s="120" t="e">
        <f>SUMIF(#REF!,'Price Table 8 CS'!$A72,#REF!)</f>
        <v>#REF!</v>
      </c>
      <c r="K72" s="120" t="e">
        <f>SUMIF(#REF!,'Price Table 8 CS'!$A72,#REF!)</f>
        <v>#REF!</v>
      </c>
      <c r="L72" s="120" t="e">
        <f>SUMIF(#REF!,'Price Table 8 CS'!$A72,#REF!)</f>
        <v>#REF!</v>
      </c>
      <c r="M72" s="120" t="e">
        <f>SUMIF(#REF!,'Price Table 8 CS'!$A72,#REF!)</f>
        <v>#REF!</v>
      </c>
      <c r="N72" s="120" t="e">
        <f>SUMIF(#REF!,'Price Table 8 CS'!$A72,#REF!)</f>
        <v>#REF!</v>
      </c>
      <c r="O72" s="120" t="e">
        <f>SUMIF(#REF!,'Price Table 8 CS'!$A72,#REF!)</f>
        <v>#REF!</v>
      </c>
      <c r="P72" s="120" t="e">
        <f>SUMIF(#REF!,'Price Table 8 CS'!$A72,#REF!)</f>
        <v>#REF!</v>
      </c>
      <c r="Q72" s="120" t="e">
        <f>SUMIF(#REF!,'Price Table 8 CS'!$A72,#REF!)</f>
        <v>#REF!</v>
      </c>
      <c r="R72" s="120" t="e">
        <f>SUMIF(#REF!,'Price Table 8 CS'!$A72,#REF!)</f>
        <v>#REF!</v>
      </c>
      <c r="S72" s="120" t="e">
        <f>SUMIF(#REF!,'Price Table 8 CS'!$A72,#REF!)</f>
        <v>#REF!</v>
      </c>
      <c r="T72" s="120" t="e">
        <f>SUMIF(#REF!,'Price Table 8 CS'!$A72,#REF!)</f>
        <v>#REF!</v>
      </c>
      <c r="U72" s="120" t="e">
        <f>SUMIF(#REF!,'Price Table 8 CS'!$A72,#REF!)</f>
        <v>#REF!</v>
      </c>
      <c r="V72" s="120" t="e">
        <f>SUMIF(#REF!,'Price Table 8 CS'!$A72,#REF!)</f>
        <v>#REF!</v>
      </c>
      <c r="W72" s="120" t="e">
        <f>SUMIF(#REF!,'Price Table 8 CS'!$A72,#REF!)</f>
        <v>#REF!</v>
      </c>
      <c r="X72" s="120" t="e">
        <f>SUMIF(#REF!,'Price Table 8 CS'!$A72,#REF!)</f>
        <v>#REF!</v>
      </c>
      <c r="Y72" s="120" t="e">
        <f>SUMIF(#REF!,'Price Table 8 CS'!$A72,#REF!)</f>
        <v>#REF!</v>
      </c>
      <c r="Z72" s="120" t="e">
        <f>SUMIF(#REF!,'Price Table 8 CS'!$A72,#REF!)</f>
        <v>#REF!</v>
      </c>
      <c r="AA72" s="120" t="e">
        <f>SUMIF(#REF!,'Price Table 8 CS'!$A72,#REF!)</f>
        <v>#REF!</v>
      </c>
      <c r="AB72" s="120" t="e">
        <f>SUMIF(#REF!,'Price Table 8 CS'!$A72,#REF!)</f>
        <v>#REF!</v>
      </c>
      <c r="AC72" s="120" t="e">
        <f>SUMIF(#REF!,'Price Table 8 CS'!$A72,#REF!)</f>
        <v>#REF!</v>
      </c>
      <c r="AD72" s="120" t="e">
        <f>SUMIF(#REF!,'Price Table 8 CS'!$A72,#REF!)</f>
        <v>#REF!</v>
      </c>
      <c r="AE72" s="120" t="e">
        <f>SUMIF(#REF!,'Price Table 8 CS'!$A72,#REF!)</f>
        <v>#REF!</v>
      </c>
      <c r="AF72" s="120" t="e">
        <f>SUMIF(#REF!,'Price Table 8 CS'!$A72,#REF!)</f>
        <v>#REF!</v>
      </c>
      <c r="AG72" s="120" t="e">
        <f>SUMIF(#REF!,'Price Table 8 CS'!$A72,#REF!)</f>
        <v>#REF!</v>
      </c>
      <c r="AH72" s="115" t="e">
        <f t="shared" si="0"/>
        <v>#REF!</v>
      </c>
      <c r="AI72" s="115" t="e">
        <f>SUMIF(#REF!,'Price Table 8 CS'!$A72,#REF!)</f>
        <v>#REF!</v>
      </c>
    </row>
    <row r="73" spans="1:36">
      <c r="B73" s="12" t="s">
        <v>625</v>
      </c>
      <c r="C73" s="13"/>
      <c r="D73" s="14"/>
      <c r="H73"/>
      <c r="J73" s="120" t="e">
        <f>SUMIF(#REF!,'Price Table 8 CS'!$A73,#REF!)</f>
        <v>#REF!</v>
      </c>
      <c r="K73" s="120" t="e">
        <f>SUMIF(#REF!,'Price Table 8 CS'!$A73,#REF!)</f>
        <v>#REF!</v>
      </c>
      <c r="L73" s="120" t="e">
        <f>SUMIF(#REF!,'Price Table 8 CS'!$A73,#REF!)</f>
        <v>#REF!</v>
      </c>
      <c r="M73" s="120" t="e">
        <f>SUMIF(#REF!,'Price Table 8 CS'!$A73,#REF!)</f>
        <v>#REF!</v>
      </c>
      <c r="N73" s="120" t="e">
        <f>SUMIF(#REF!,'Price Table 8 CS'!$A73,#REF!)</f>
        <v>#REF!</v>
      </c>
      <c r="O73" s="120" t="e">
        <f>SUMIF(#REF!,'Price Table 8 CS'!$A73,#REF!)</f>
        <v>#REF!</v>
      </c>
      <c r="P73" s="120" t="e">
        <f>SUMIF(#REF!,'Price Table 8 CS'!$A73,#REF!)</f>
        <v>#REF!</v>
      </c>
      <c r="Q73" s="120" t="e">
        <f>SUMIF(#REF!,'Price Table 8 CS'!$A73,#REF!)</f>
        <v>#REF!</v>
      </c>
      <c r="R73" s="120" t="e">
        <f>SUMIF(#REF!,'Price Table 8 CS'!$A73,#REF!)</f>
        <v>#REF!</v>
      </c>
      <c r="S73" s="120" t="e">
        <f>SUMIF(#REF!,'Price Table 8 CS'!$A73,#REF!)</f>
        <v>#REF!</v>
      </c>
      <c r="T73" s="120" t="e">
        <f>SUMIF(#REF!,'Price Table 8 CS'!$A73,#REF!)</f>
        <v>#REF!</v>
      </c>
      <c r="U73" s="120" t="e">
        <f>SUMIF(#REF!,'Price Table 8 CS'!$A73,#REF!)</f>
        <v>#REF!</v>
      </c>
      <c r="V73" s="120" t="e">
        <f>SUMIF(#REF!,'Price Table 8 CS'!$A73,#REF!)</f>
        <v>#REF!</v>
      </c>
      <c r="W73" s="120" t="e">
        <f>SUMIF(#REF!,'Price Table 8 CS'!$A73,#REF!)</f>
        <v>#REF!</v>
      </c>
      <c r="X73" s="120" t="e">
        <f>SUMIF(#REF!,'Price Table 8 CS'!$A73,#REF!)</f>
        <v>#REF!</v>
      </c>
      <c r="Y73" s="120" t="e">
        <f>SUMIF(#REF!,'Price Table 8 CS'!$A73,#REF!)</f>
        <v>#REF!</v>
      </c>
      <c r="Z73" s="120" t="e">
        <f>SUMIF(#REF!,'Price Table 8 CS'!$A73,#REF!)</f>
        <v>#REF!</v>
      </c>
      <c r="AA73" s="120" t="e">
        <f>SUMIF(#REF!,'Price Table 8 CS'!$A73,#REF!)</f>
        <v>#REF!</v>
      </c>
      <c r="AB73" s="120" t="e">
        <f>SUMIF(#REF!,'Price Table 8 CS'!$A73,#REF!)</f>
        <v>#REF!</v>
      </c>
      <c r="AC73" s="120" t="e">
        <f>SUMIF(#REF!,'Price Table 8 CS'!$A73,#REF!)</f>
        <v>#REF!</v>
      </c>
      <c r="AD73" s="120" t="e">
        <f>SUMIF(#REF!,'Price Table 8 CS'!$A73,#REF!)</f>
        <v>#REF!</v>
      </c>
      <c r="AE73" s="120" t="e">
        <f>SUMIF(#REF!,'Price Table 8 CS'!$A73,#REF!)</f>
        <v>#REF!</v>
      </c>
      <c r="AF73" s="120" t="e">
        <f>SUMIF(#REF!,'Price Table 8 CS'!$A73,#REF!)</f>
        <v>#REF!</v>
      </c>
      <c r="AG73" s="120" t="e">
        <f>SUMIF(#REF!,'Price Table 8 CS'!$A73,#REF!)</f>
        <v>#REF!</v>
      </c>
      <c r="AH73" s="115" t="e">
        <f t="shared" si="0"/>
        <v>#REF!</v>
      </c>
      <c r="AI73" s="115" t="e">
        <f>SUMIF(#REF!,'Price Table 8 CS'!$A73,#REF!)</f>
        <v>#REF!</v>
      </c>
    </row>
    <row r="74" spans="1:36">
      <c r="A74" t="s">
        <v>389</v>
      </c>
      <c r="B74" s="321" t="s">
        <v>626</v>
      </c>
      <c r="C74" s="19"/>
      <c r="D74" s="315"/>
      <c r="E74" s="37" t="s">
        <v>14</v>
      </c>
      <c r="F74" s="36" t="s">
        <v>13</v>
      </c>
      <c r="G74" s="36" t="str">
        <f>CONCATENATE(E74,F74)</f>
        <v>MISSIONManpower</v>
      </c>
      <c r="H74" s="64" t="s">
        <v>627</v>
      </c>
      <c r="J74" s="120" t="e">
        <f>SUMIF(#REF!,'Price Table 8 CS'!$A74,#REF!)</f>
        <v>#REF!</v>
      </c>
      <c r="K74" s="120" t="e">
        <f>SUMIF(#REF!,'Price Table 8 CS'!$A74,#REF!)</f>
        <v>#REF!</v>
      </c>
      <c r="L74" s="120" t="e">
        <f>SUMIF(#REF!,'Price Table 8 CS'!$A74,#REF!)</f>
        <v>#REF!</v>
      </c>
      <c r="M74" s="120" t="e">
        <f>SUMIF(#REF!,'Price Table 8 CS'!$A74,#REF!)</f>
        <v>#REF!</v>
      </c>
      <c r="N74" s="120" t="e">
        <f>SUMIF(#REF!,'Price Table 8 CS'!$A74,#REF!)</f>
        <v>#REF!</v>
      </c>
      <c r="O74" s="120" t="e">
        <f>SUMIF(#REF!,'Price Table 8 CS'!$A74,#REF!)</f>
        <v>#REF!</v>
      </c>
      <c r="P74" s="120" t="e">
        <f>SUMIF(#REF!,'Price Table 8 CS'!$A74,#REF!)</f>
        <v>#REF!</v>
      </c>
      <c r="Q74" s="120" t="e">
        <f>SUMIF(#REF!,'Price Table 8 CS'!$A74,#REF!)</f>
        <v>#REF!</v>
      </c>
      <c r="R74" s="120" t="e">
        <f>SUMIF(#REF!,'Price Table 8 CS'!$A74,#REF!)</f>
        <v>#REF!</v>
      </c>
      <c r="S74" s="120" t="e">
        <f>SUMIF(#REF!,'Price Table 8 CS'!$A74,#REF!)</f>
        <v>#REF!</v>
      </c>
      <c r="T74" s="120" t="e">
        <f>SUMIF(#REF!,'Price Table 8 CS'!$A74,#REF!)</f>
        <v>#REF!</v>
      </c>
      <c r="U74" s="120" t="e">
        <f>SUMIF(#REF!,'Price Table 8 CS'!$A74,#REF!)</f>
        <v>#REF!</v>
      </c>
      <c r="V74" s="120" t="e">
        <f>SUMIF(#REF!,'Price Table 8 CS'!$A74,#REF!)</f>
        <v>#REF!</v>
      </c>
      <c r="W74" s="120" t="e">
        <f>SUMIF(#REF!,'Price Table 8 CS'!$A74,#REF!)</f>
        <v>#REF!</v>
      </c>
      <c r="X74" s="120" t="e">
        <f>SUMIF(#REF!,'Price Table 8 CS'!$A74,#REF!)</f>
        <v>#REF!</v>
      </c>
      <c r="Y74" s="120" t="e">
        <f>SUMIF(#REF!,'Price Table 8 CS'!$A74,#REF!)</f>
        <v>#REF!</v>
      </c>
      <c r="Z74" s="120" t="e">
        <f>SUMIF(#REF!,'Price Table 8 CS'!$A74,#REF!)</f>
        <v>#REF!</v>
      </c>
      <c r="AA74" s="120" t="e">
        <f>SUMIF(#REF!,'Price Table 8 CS'!$A74,#REF!)</f>
        <v>#REF!</v>
      </c>
      <c r="AB74" s="120" t="e">
        <f>SUMIF(#REF!,'Price Table 8 CS'!$A74,#REF!)</f>
        <v>#REF!</v>
      </c>
      <c r="AC74" s="120" t="e">
        <f>SUMIF(#REF!,'Price Table 8 CS'!$A74,#REF!)</f>
        <v>#REF!</v>
      </c>
      <c r="AD74" s="120" t="e">
        <f>SUMIF(#REF!,'Price Table 8 CS'!$A74,#REF!)</f>
        <v>#REF!</v>
      </c>
      <c r="AE74" s="120" t="e">
        <f>SUMIF(#REF!,'Price Table 8 CS'!$A74,#REF!)</f>
        <v>#REF!</v>
      </c>
      <c r="AF74" s="120" t="e">
        <f>SUMIF(#REF!,'Price Table 8 CS'!$A74,#REF!)</f>
        <v>#REF!</v>
      </c>
      <c r="AG74" s="120" t="e">
        <f>SUMIF(#REF!,'Price Table 8 CS'!$A74,#REF!)</f>
        <v>#REF!</v>
      </c>
      <c r="AH74" s="115" t="e">
        <f t="shared" si="0"/>
        <v>#REF!</v>
      </c>
      <c r="AI74" s="115" t="e">
        <f>SUMIF(#REF!,'Price Table 8 CS'!$A74,#REF!)</f>
        <v>#REF!</v>
      </c>
    </row>
    <row r="75" spans="1:36">
      <c r="A75" t="s">
        <v>434</v>
      </c>
      <c r="B75" s="603" t="s">
        <v>432</v>
      </c>
      <c r="C75" s="5"/>
      <c r="D75" s="316"/>
      <c r="E75" s="37" t="s">
        <v>14</v>
      </c>
      <c r="F75" s="36" t="s">
        <v>13</v>
      </c>
      <c r="G75" s="36" t="str">
        <f>CONCATENATE(E75,F75)</f>
        <v>MISSIONManpower</v>
      </c>
      <c r="H75" s="60" t="s">
        <v>628</v>
      </c>
      <c r="J75" s="120" t="e">
        <f>SUMIF(#REF!,'Price Table 8 CS'!$A75,#REF!)</f>
        <v>#REF!</v>
      </c>
      <c r="K75" s="120" t="e">
        <f>SUMIF(#REF!,'Price Table 8 CS'!$A75,#REF!)</f>
        <v>#REF!</v>
      </c>
      <c r="L75" s="120" t="e">
        <f>SUMIF(#REF!,'Price Table 8 CS'!$A75,#REF!)</f>
        <v>#REF!</v>
      </c>
      <c r="M75" s="120" t="e">
        <f>SUMIF(#REF!,'Price Table 8 CS'!$A75,#REF!)</f>
        <v>#REF!</v>
      </c>
      <c r="N75" s="120" t="e">
        <f>SUMIF(#REF!,'Price Table 8 CS'!$A75,#REF!)</f>
        <v>#REF!</v>
      </c>
      <c r="O75" s="120" t="e">
        <f>SUMIF(#REF!,'Price Table 8 CS'!$A75,#REF!)</f>
        <v>#REF!</v>
      </c>
      <c r="P75" s="120" t="e">
        <f>SUMIF(#REF!,'Price Table 8 CS'!$A75,#REF!)</f>
        <v>#REF!</v>
      </c>
      <c r="Q75" s="120" t="e">
        <f>SUMIF(#REF!,'Price Table 8 CS'!$A75,#REF!)</f>
        <v>#REF!</v>
      </c>
      <c r="R75" s="120" t="e">
        <f>SUMIF(#REF!,'Price Table 8 CS'!$A75,#REF!)</f>
        <v>#REF!</v>
      </c>
      <c r="S75" s="120" t="e">
        <f>SUMIF(#REF!,'Price Table 8 CS'!$A75,#REF!)</f>
        <v>#REF!</v>
      </c>
      <c r="T75" s="120" t="e">
        <f>SUMIF(#REF!,'Price Table 8 CS'!$A75,#REF!)</f>
        <v>#REF!</v>
      </c>
      <c r="U75" s="120" t="e">
        <f>SUMIF(#REF!,'Price Table 8 CS'!$A75,#REF!)</f>
        <v>#REF!</v>
      </c>
      <c r="V75" s="120" t="e">
        <f>SUMIF(#REF!,'Price Table 8 CS'!$A75,#REF!)</f>
        <v>#REF!</v>
      </c>
      <c r="W75" s="120" t="e">
        <f>SUMIF(#REF!,'Price Table 8 CS'!$A75,#REF!)</f>
        <v>#REF!</v>
      </c>
      <c r="X75" s="120" t="e">
        <f>SUMIF(#REF!,'Price Table 8 CS'!$A75,#REF!)</f>
        <v>#REF!</v>
      </c>
      <c r="Y75" s="120" t="e">
        <f>SUMIF(#REF!,'Price Table 8 CS'!$A75,#REF!)</f>
        <v>#REF!</v>
      </c>
      <c r="Z75" s="120" t="e">
        <f>SUMIF(#REF!,'Price Table 8 CS'!$A75,#REF!)</f>
        <v>#REF!</v>
      </c>
      <c r="AA75" s="120" t="e">
        <f>SUMIF(#REF!,'Price Table 8 CS'!$A75,#REF!)</f>
        <v>#REF!</v>
      </c>
      <c r="AB75" s="120" t="e">
        <f>SUMIF(#REF!,'Price Table 8 CS'!$A75,#REF!)</f>
        <v>#REF!</v>
      </c>
      <c r="AC75" s="120" t="e">
        <f>SUMIF(#REF!,'Price Table 8 CS'!$A75,#REF!)</f>
        <v>#REF!</v>
      </c>
      <c r="AD75" s="120" t="e">
        <f>SUMIF(#REF!,'Price Table 8 CS'!$A75,#REF!)</f>
        <v>#REF!</v>
      </c>
      <c r="AE75" s="120" t="e">
        <f>SUMIF(#REF!,'Price Table 8 CS'!$A75,#REF!)</f>
        <v>#REF!</v>
      </c>
      <c r="AF75" s="120" t="e">
        <f>SUMIF(#REF!,'Price Table 8 CS'!$A75,#REF!)</f>
        <v>#REF!</v>
      </c>
      <c r="AG75" s="120" t="e">
        <f>SUMIF(#REF!,'Price Table 8 CS'!$A75,#REF!)</f>
        <v>#REF!</v>
      </c>
      <c r="AH75" s="115" t="e">
        <f t="shared" si="0"/>
        <v>#REF!</v>
      </c>
      <c r="AI75" s="115" t="e">
        <f>SUMIF(#REF!,'Price Table 8 CS'!$A75,#REF!)</f>
        <v>#REF!</v>
      </c>
    </row>
    <row r="76" spans="1:36">
      <c r="A76" t="s">
        <v>427</v>
      </c>
      <c r="B76" s="322" t="s">
        <v>629</v>
      </c>
      <c r="C76" s="5"/>
      <c r="D76" s="316"/>
      <c r="E76" s="36" t="s">
        <v>139</v>
      </c>
      <c r="F76" s="36" t="s">
        <v>13</v>
      </c>
      <c r="G76" s="36" t="str">
        <f>CONCATENATE(E76,F76)</f>
        <v>TECHManpower</v>
      </c>
      <c r="H76" s="16">
        <v>650000</v>
      </c>
      <c r="J76" s="120" t="e">
        <f>SUMIF(#REF!,'Price Table 8 CS'!$A76,#REF!)</f>
        <v>#REF!</v>
      </c>
      <c r="K76" s="120" t="e">
        <f>SUMIF(#REF!,'Price Table 8 CS'!$A76,#REF!)</f>
        <v>#REF!</v>
      </c>
      <c r="L76" s="120" t="e">
        <f>SUMIF(#REF!,'Price Table 8 CS'!$A76,#REF!)</f>
        <v>#REF!</v>
      </c>
      <c r="M76" s="120" t="e">
        <f>SUMIF(#REF!,'Price Table 8 CS'!$A76,#REF!)</f>
        <v>#REF!</v>
      </c>
      <c r="N76" s="120" t="e">
        <f>SUMIF(#REF!,'Price Table 8 CS'!$A76,#REF!)</f>
        <v>#REF!</v>
      </c>
      <c r="O76" s="120" t="e">
        <f>SUMIF(#REF!,'Price Table 8 CS'!$A76,#REF!)</f>
        <v>#REF!</v>
      </c>
      <c r="P76" s="120" t="e">
        <f>SUMIF(#REF!,'Price Table 8 CS'!$A76,#REF!)</f>
        <v>#REF!</v>
      </c>
      <c r="Q76" s="120" t="e">
        <f>SUMIF(#REF!,'Price Table 8 CS'!$A76,#REF!)</f>
        <v>#REF!</v>
      </c>
      <c r="R76" s="120" t="e">
        <f>SUMIF(#REF!,'Price Table 8 CS'!$A76,#REF!)</f>
        <v>#REF!</v>
      </c>
      <c r="S76" s="120" t="e">
        <f>SUMIF(#REF!,'Price Table 8 CS'!$A76,#REF!)</f>
        <v>#REF!</v>
      </c>
      <c r="T76" s="120" t="e">
        <f>SUMIF(#REF!,'Price Table 8 CS'!$A76,#REF!)</f>
        <v>#REF!</v>
      </c>
      <c r="U76" s="120" t="e">
        <f>SUMIF(#REF!,'Price Table 8 CS'!$A76,#REF!)</f>
        <v>#REF!</v>
      </c>
      <c r="V76" s="120" t="e">
        <f>SUMIF(#REF!,'Price Table 8 CS'!$A76,#REF!)</f>
        <v>#REF!</v>
      </c>
      <c r="W76" s="120" t="e">
        <f>SUMIF(#REF!,'Price Table 8 CS'!$A76,#REF!)</f>
        <v>#REF!</v>
      </c>
      <c r="X76" s="120" t="e">
        <f>SUMIF(#REF!,'Price Table 8 CS'!$A76,#REF!)</f>
        <v>#REF!</v>
      </c>
      <c r="Y76" s="120" t="e">
        <f>SUMIF(#REF!,'Price Table 8 CS'!$A76,#REF!)</f>
        <v>#REF!</v>
      </c>
      <c r="Z76" s="120" t="e">
        <f>SUMIF(#REF!,'Price Table 8 CS'!$A76,#REF!)</f>
        <v>#REF!</v>
      </c>
      <c r="AA76" s="120" t="e">
        <f>SUMIF(#REF!,'Price Table 8 CS'!$A76,#REF!)</f>
        <v>#REF!</v>
      </c>
      <c r="AB76" s="120" t="e">
        <f>SUMIF(#REF!,'Price Table 8 CS'!$A76,#REF!)</f>
        <v>#REF!</v>
      </c>
      <c r="AC76" s="120" t="e">
        <f>SUMIF(#REF!,'Price Table 8 CS'!$A76,#REF!)</f>
        <v>#REF!</v>
      </c>
      <c r="AD76" s="120" t="e">
        <f>SUMIF(#REF!,'Price Table 8 CS'!$A76,#REF!)</f>
        <v>#REF!</v>
      </c>
      <c r="AE76" s="120" t="e">
        <f>SUMIF(#REF!,'Price Table 8 CS'!$A76,#REF!)</f>
        <v>#REF!</v>
      </c>
      <c r="AF76" s="120" t="e">
        <f>SUMIF(#REF!,'Price Table 8 CS'!$A76,#REF!)</f>
        <v>#REF!</v>
      </c>
      <c r="AG76" s="120" t="e">
        <f>SUMIF(#REF!,'Price Table 8 CS'!$A76,#REF!)</f>
        <v>#REF!</v>
      </c>
      <c r="AH76" s="115" t="e">
        <f t="shared" si="0"/>
        <v>#REF!</v>
      </c>
      <c r="AI76" s="115" t="e">
        <f>SUMIF(#REF!,'Price Table 8 CS'!$A76,#REF!)</f>
        <v>#REF!</v>
      </c>
    </row>
    <row r="77" spans="1:36">
      <c r="A77" t="s">
        <v>396</v>
      </c>
      <c r="B77" s="322" t="s">
        <v>630</v>
      </c>
      <c r="C77" s="5"/>
      <c r="D77" s="316"/>
      <c r="E77" s="37" t="s">
        <v>14</v>
      </c>
      <c r="F77" s="36" t="s">
        <v>13</v>
      </c>
      <c r="G77" s="36" t="str">
        <f>CONCATENATE(E77,F77)</f>
        <v>MISSIONManpower</v>
      </c>
      <c r="H77">
        <v>620100</v>
      </c>
      <c r="I77" s="18"/>
      <c r="J77" s="120" t="e">
        <f>SUMIF(#REF!,'Price Table 8 CS'!$A77,#REF!)</f>
        <v>#REF!</v>
      </c>
      <c r="K77" s="120" t="e">
        <f>SUMIF(#REF!,'Price Table 8 CS'!$A77,#REF!)</f>
        <v>#REF!</v>
      </c>
      <c r="L77" s="120" t="e">
        <f>SUMIF(#REF!,'Price Table 8 CS'!$A77,#REF!)</f>
        <v>#REF!</v>
      </c>
      <c r="M77" s="120" t="e">
        <f>SUMIF(#REF!,'Price Table 8 CS'!$A77,#REF!)</f>
        <v>#REF!</v>
      </c>
      <c r="N77" s="120" t="e">
        <f>SUMIF(#REF!,'Price Table 8 CS'!$A77,#REF!)</f>
        <v>#REF!</v>
      </c>
      <c r="O77" s="120" t="e">
        <f>SUMIF(#REF!,'Price Table 8 CS'!$A77,#REF!)</f>
        <v>#REF!</v>
      </c>
      <c r="P77" s="120" t="e">
        <f>SUMIF(#REF!,'Price Table 8 CS'!$A77,#REF!)</f>
        <v>#REF!</v>
      </c>
      <c r="Q77" s="120" t="e">
        <f>SUMIF(#REF!,'Price Table 8 CS'!$A77,#REF!)</f>
        <v>#REF!</v>
      </c>
      <c r="R77" s="120" t="e">
        <f>SUMIF(#REF!,'Price Table 8 CS'!$A77,#REF!)</f>
        <v>#REF!</v>
      </c>
      <c r="S77" s="120" t="e">
        <f>SUMIF(#REF!,'Price Table 8 CS'!$A77,#REF!)</f>
        <v>#REF!</v>
      </c>
      <c r="T77" s="120" t="e">
        <f>SUMIF(#REF!,'Price Table 8 CS'!$A77,#REF!)</f>
        <v>#REF!</v>
      </c>
      <c r="U77" s="120" t="e">
        <f>SUMIF(#REF!,'Price Table 8 CS'!$A77,#REF!)</f>
        <v>#REF!</v>
      </c>
      <c r="V77" s="120" t="e">
        <f>SUMIF(#REF!,'Price Table 8 CS'!$A77,#REF!)</f>
        <v>#REF!</v>
      </c>
      <c r="W77" s="120" t="e">
        <f>SUMIF(#REF!,'Price Table 8 CS'!$A77,#REF!)</f>
        <v>#REF!</v>
      </c>
      <c r="X77" s="120" t="e">
        <f>SUMIF(#REF!,'Price Table 8 CS'!$A77,#REF!)</f>
        <v>#REF!</v>
      </c>
      <c r="Y77" s="120" t="e">
        <f>SUMIF(#REF!,'Price Table 8 CS'!$A77,#REF!)</f>
        <v>#REF!</v>
      </c>
      <c r="Z77" s="120" t="e">
        <f>SUMIF(#REF!,'Price Table 8 CS'!$A77,#REF!)</f>
        <v>#REF!</v>
      </c>
      <c r="AA77" s="120" t="e">
        <f>SUMIF(#REF!,'Price Table 8 CS'!$A77,#REF!)</f>
        <v>#REF!</v>
      </c>
      <c r="AB77" s="120" t="e">
        <f>SUMIF(#REF!,'Price Table 8 CS'!$A77,#REF!)</f>
        <v>#REF!</v>
      </c>
      <c r="AC77" s="120" t="e">
        <f>SUMIF(#REF!,'Price Table 8 CS'!$A77,#REF!)</f>
        <v>#REF!</v>
      </c>
      <c r="AD77" s="120" t="e">
        <f>SUMIF(#REF!,'Price Table 8 CS'!$A77,#REF!)</f>
        <v>#REF!</v>
      </c>
      <c r="AE77" s="120" t="e">
        <f>SUMIF(#REF!,'Price Table 8 CS'!$A77,#REF!)</f>
        <v>#REF!</v>
      </c>
      <c r="AF77" s="120" t="e">
        <f>SUMIF(#REF!,'Price Table 8 CS'!$A77,#REF!)</f>
        <v>#REF!</v>
      </c>
      <c r="AG77" s="120" t="e">
        <f>SUMIF(#REF!,'Price Table 8 CS'!$A77,#REF!)</f>
        <v>#REF!</v>
      </c>
      <c r="AH77" s="115" t="e">
        <f t="shared" si="0"/>
        <v>#REF!</v>
      </c>
      <c r="AI77" s="115" t="e">
        <f>SUMIF(#REF!,'Price Table 8 CS'!$A77,#REF!)</f>
        <v>#REF!</v>
      </c>
    </row>
    <row r="78" spans="1:36" ht="15.75" thickBot="1">
      <c r="A78" t="s">
        <v>631</v>
      </c>
      <c r="B78" s="602" t="s">
        <v>632</v>
      </c>
      <c r="C78" s="318"/>
      <c r="D78" s="319"/>
      <c r="E78" s="37" t="s">
        <v>14</v>
      </c>
      <c r="F78" s="36" t="s">
        <v>117</v>
      </c>
      <c r="G78" s="36" t="str">
        <f>CONCATENATE(E78,F78)</f>
        <v>MISSIONProcurement</v>
      </c>
      <c r="H78">
        <v>620100</v>
      </c>
      <c r="J78" s="120" t="e">
        <f>SUMIF(#REF!,'Price Table 8 CS'!$A78,#REF!)</f>
        <v>#REF!</v>
      </c>
      <c r="K78" s="120" t="e">
        <f>SUMIF(#REF!,'Price Table 8 CS'!$A78,#REF!)</f>
        <v>#REF!</v>
      </c>
      <c r="L78" s="120" t="e">
        <f>SUMIF(#REF!,'Price Table 8 CS'!$A78,#REF!)</f>
        <v>#REF!</v>
      </c>
      <c r="M78" s="120" t="e">
        <f>SUMIF(#REF!,'Price Table 8 CS'!$A78,#REF!)</f>
        <v>#REF!</v>
      </c>
      <c r="N78" s="120" t="e">
        <f>SUMIF(#REF!,'Price Table 8 CS'!$A78,#REF!)</f>
        <v>#REF!</v>
      </c>
      <c r="O78" s="120" t="e">
        <f>SUMIF(#REF!,'Price Table 8 CS'!$A78,#REF!)</f>
        <v>#REF!</v>
      </c>
      <c r="P78" s="120" t="e">
        <f>SUMIF(#REF!,'Price Table 8 CS'!$A78,#REF!)</f>
        <v>#REF!</v>
      </c>
      <c r="Q78" s="120" t="e">
        <f>SUMIF(#REF!,'Price Table 8 CS'!$A78,#REF!)</f>
        <v>#REF!</v>
      </c>
      <c r="R78" s="120" t="e">
        <f>SUMIF(#REF!,'Price Table 8 CS'!$A78,#REF!)</f>
        <v>#REF!</v>
      </c>
      <c r="S78" s="120" t="e">
        <f>SUMIF(#REF!,'Price Table 8 CS'!$A78,#REF!)</f>
        <v>#REF!</v>
      </c>
      <c r="T78" s="120" t="e">
        <f>SUMIF(#REF!,'Price Table 8 CS'!$A78,#REF!)</f>
        <v>#REF!</v>
      </c>
      <c r="U78" s="120" t="e">
        <f>SUMIF(#REF!,'Price Table 8 CS'!$A78,#REF!)</f>
        <v>#REF!</v>
      </c>
      <c r="V78" s="120" t="e">
        <f>SUMIF(#REF!,'Price Table 8 CS'!$A78,#REF!)</f>
        <v>#REF!</v>
      </c>
      <c r="W78" s="120" t="e">
        <f>SUMIF(#REF!,'Price Table 8 CS'!$A78,#REF!)</f>
        <v>#REF!</v>
      </c>
      <c r="X78" s="120" t="e">
        <f>SUMIF(#REF!,'Price Table 8 CS'!$A78,#REF!)</f>
        <v>#REF!</v>
      </c>
      <c r="Y78" s="120" t="e">
        <f>SUMIF(#REF!,'Price Table 8 CS'!$A78,#REF!)</f>
        <v>#REF!</v>
      </c>
      <c r="Z78" s="120" t="e">
        <f>SUMIF(#REF!,'Price Table 8 CS'!$A78,#REF!)</f>
        <v>#REF!</v>
      </c>
      <c r="AA78" s="120" t="e">
        <f>SUMIF(#REF!,'Price Table 8 CS'!$A78,#REF!)</f>
        <v>#REF!</v>
      </c>
      <c r="AB78" s="120" t="e">
        <f>SUMIF(#REF!,'Price Table 8 CS'!$A78,#REF!)</f>
        <v>#REF!</v>
      </c>
      <c r="AC78" s="120" t="e">
        <f>SUMIF(#REF!,'Price Table 8 CS'!$A78,#REF!)</f>
        <v>#REF!</v>
      </c>
      <c r="AD78" s="120" t="e">
        <f>SUMIF(#REF!,'Price Table 8 CS'!$A78,#REF!)</f>
        <v>#REF!</v>
      </c>
      <c r="AE78" s="120" t="e">
        <f>SUMIF(#REF!,'Price Table 8 CS'!$A78,#REF!)</f>
        <v>#REF!</v>
      </c>
      <c r="AF78" s="120" t="e">
        <f>SUMIF(#REF!,'Price Table 8 CS'!$A78,#REF!)</f>
        <v>#REF!</v>
      </c>
      <c r="AG78" s="120" t="e">
        <f>SUMIF(#REF!,'Price Table 8 CS'!$A78,#REF!)</f>
        <v>#REF!</v>
      </c>
      <c r="AH78" s="115" t="e">
        <f t="shared" si="0"/>
        <v>#REF!</v>
      </c>
      <c r="AI78" s="115" t="e">
        <f>SUMIF(#REF!,'Price Table 8 CS'!$A78,#REF!)</f>
        <v>#REF!</v>
      </c>
    </row>
    <row r="79" spans="1:36">
      <c r="A79" t="s">
        <v>633</v>
      </c>
      <c r="B79" s="25" t="s">
        <v>465</v>
      </c>
      <c r="C79" s="26"/>
      <c r="D79" s="27"/>
      <c r="E79" s="59"/>
      <c r="F79" s="59"/>
      <c r="G79" s="59"/>
      <c r="H79"/>
      <c r="J79" s="284" t="e">
        <f>(J81-J70)*0.2</f>
        <v>#REF!</v>
      </c>
      <c r="K79" s="284" t="e">
        <f t="shared" ref="K79:AG79" si="1">(K81-K70)*0.2</f>
        <v>#REF!</v>
      </c>
      <c r="L79" s="284" t="e">
        <f t="shared" si="1"/>
        <v>#REF!</v>
      </c>
      <c r="M79" s="284" t="e">
        <f t="shared" si="1"/>
        <v>#REF!</v>
      </c>
      <c r="N79" s="284" t="e">
        <f t="shared" si="1"/>
        <v>#REF!</v>
      </c>
      <c r="O79" s="284" t="e">
        <f t="shared" si="1"/>
        <v>#REF!</v>
      </c>
      <c r="P79" s="284" t="e">
        <f t="shared" si="1"/>
        <v>#REF!</v>
      </c>
      <c r="Q79" s="284" t="e">
        <f t="shared" si="1"/>
        <v>#REF!</v>
      </c>
      <c r="R79" s="284" t="e">
        <f t="shared" si="1"/>
        <v>#REF!</v>
      </c>
      <c r="S79" s="284" t="e">
        <f t="shared" si="1"/>
        <v>#REF!</v>
      </c>
      <c r="T79" s="284" t="e">
        <f t="shared" si="1"/>
        <v>#REF!</v>
      </c>
      <c r="U79" s="284" t="e">
        <f t="shared" si="1"/>
        <v>#REF!</v>
      </c>
      <c r="V79" s="284" t="e">
        <f t="shared" si="1"/>
        <v>#REF!</v>
      </c>
      <c r="W79" s="284" t="e">
        <f t="shared" si="1"/>
        <v>#REF!</v>
      </c>
      <c r="X79" s="284" t="e">
        <f t="shared" si="1"/>
        <v>#REF!</v>
      </c>
      <c r="Y79" s="284" t="e">
        <f t="shared" si="1"/>
        <v>#REF!</v>
      </c>
      <c r="Z79" s="284" t="e">
        <f t="shared" si="1"/>
        <v>#REF!</v>
      </c>
      <c r="AA79" s="284" t="e">
        <f t="shared" si="1"/>
        <v>#REF!</v>
      </c>
      <c r="AB79" s="284" t="e">
        <f t="shared" si="1"/>
        <v>#REF!</v>
      </c>
      <c r="AC79" s="284" t="e">
        <f t="shared" si="1"/>
        <v>#REF!</v>
      </c>
      <c r="AD79" s="284" t="e">
        <f t="shared" si="1"/>
        <v>#REF!</v>
      </c>
      <c r="AE79" s="284" t="e">
        <f t="shared" si="1"/>
        <v>#REF!</v>
      </c>
      <c r="AF79" s="284" t="e">
        <f t="shared" si="1"/>
        <v>#REF!</v>
      </c>
      <c r="AG79" s="284" t="e">
        <f t="shared" si="1"/>
        <v>#REF!</v>
      </c>
      <c r="AH79" s="115" t="e">
        <f t="shared" ref="AH79" si="2">SUM(J79:AG79)</f>
        <v>#REF!</v>
      </c>
      <c r="AJ79" s="115" t="e">
        <f>AH79-'Price Table 8 OHB'!AH79</f>
        <v>#REF!</v>
      </c>
    </row>
    <row r="81" spans="2:38" s="115" customFormat="1">
      <c r="B81" s="551" t="s">
        <v>634</v>
      </c>
      <c r="E81" s="552"/>
      <c r="F81" s="552"/>
      <c r="G81" s="552"/>
      <c r="H81" s="552"/>
      <c r="J81" s="115" t="e">
        <f>SUM(J14:J78)</f>
        <v>#REF!</v>
      </c>
      <c r="K81" s="115" t="e">
        <f t="shared" ref="K81:AI81" si="3">SUM(K14:K78)</f>
        <v>#REF!</v>
      </c>
      <c r="L81" s="115" t="e">
        <f t="shared" si="3"/>
        <v>#REF!</v>
      </c>
      <c r="M81" s="115" t="e">
        <f t="shared" si="3"/>
        <v>#REF!</v>
      </c>
      <c r="N81" s="115" t="e">
        <f t="shared" si="3"/>
        <v>#REF!</v>
      </c>
      <c r="O81" s="115" t="e">
        <f t="shared" si="3"/>
        <v>#REF!</v>
      </c>
      <c r="P81" s="115" t="e">
        <f t="shared" si="3"/>
        <v>#REF!</v>
      </c>
      <c r="Q81" s="115" t="e">
        <f t="shared" si="3"/>
        <v>#REF!</v>
      </c>
      <c r="R81" s="115" t="e">
        <f t="shared" si="3"/>
        <v>#REF!</v>
      </c>
      <c r="S81" s="115" t="e">
        <f t="shared" si="3"/>
        <v>#REF!</v>
      </c>
      <c r="T81" s="115" t="e">
        <f t="shared" si="3"/>
        <v>#REF!</v>
      </c>
      <c r="U81" s="115" t="e">
        <f t="shared" si="3"/>
        <v>#REF!</v>
      </c>
      <c r="V81" s="115" t="e">
        <f t="shared" si="3"/>
        <v>#REF!</v>
      </c>
      <c r="W81" s="115" t="e">
        <f t="shared" si="3"/>
        <v>#REF!</v>
      </c>
      <c r="X81" s="115" t="e">
        <f t="shared" si="3"/>
        <v>#REF!</v>
      </c>
      <c r="Y81" s="115" t="e">
        <f t="shared" si="3"/>
        <v>#REF!</v>
      </c>
      <c r="Z81" s="115" t="e">
        <f t="shared" si="3"/>
        <v>#REF!</v>
      </c>
      <c r="AA81" s="115" t="e">
        <f t="shared" si="3"/>
        <v>#REF!</v>
      </c>
      <c r="AB81" s="115" t="e">
        <f t="shared" si="3"/>
        <v>#REF!</v>
      </c>
      <c r="AC81" s="115" t="e">
        <f t="shared" si="3"/>
        <v>#REF!</v>
      </c>
      <c r="AD81" s="115" t="e">
        <f t="shared" si="3"/>
        <v>#REF!</v>
      </c>
      <c r="AE81" s="115" t="e">
        <f t="shared" si="3"/>
        <v>#REF!</v>
      </c>
      <c r="AF81" s="115" t="e">
        <f t="shared" si="3"/>
        <v>#REF!</v>
      </c>
      <c r="AG81" s="115" t="e">
        <f t="shared" si="3"/>
        <v>#REF!</v>
      </c>
      <c r="AH81" s="115" t="e">
        <f t="shared" si="3"/>
        <v>#REF!</v>
      </c>
      <c r="AI81" s="115" t="e">
        <f t="shared" si="3"/>
        <v>#REF!</v>
      </c>
      <c r="AJ81" s="115" t="e">
        <f>AI81-AI70</f>
        <v>#REF!</v>
      </c>
      <c r="AL81"/>
    </row>
    <row r="82" spans="2:38" s="115" customFormat="1">
      <c r="B82" s="551" t="s">
        <v>635</v>
      </c>
      <c r="E82" s="552"/>
      <c r="F82" s="552"/>
      <c r="G82" s="552"/>
      <c r="H82" s="552"/>
      <c r="J82" s="115" t="e">
        <f>SUM(J79:J81)</f>
        <v>#REF!</v>
      </c>
      <c r="K82" s="115" t="e">
        <f t="shared" ref="K82:AG82" si="4">SUM(K79:K81)</f>
        <v>#REF!</v>
      </c>
      <c r="L82" s="115" t="e">
        <f t="shared" si="4"/>
        <v>#REF!</v>
      </c>
      <c r="M82" s="115" t="e">
        <f t="shared" si="4"/>
        <v>#REF!</v>
      </c>
      <c r="N82" s="115" t="e">
        <f t="shared" si="4"/>
        <v>#REF!</v>
      </c>
      <c r="O82" s="115" t="e">
        <f t="shared" si="4"/>
        <v>#REF!</v>
      </c>
      <c r="P82" s="115" t="e">
        <f t="shared" si="4"/>
        <v>#REF!</v>
      </c>
      <c r="Q82" s="115" t="e">
        <f t="shared" si="4"/>
        <v>#REF!</v>
      </c>
      <c r="R82" s="115" t="e">
        <f t="shared" si="4"/>
        <v>#REF!</v>
      </c>
      <c r="S82" s="115" t="e">
        <f t="shared" si="4"/>
        <v>#REF!</v>
      </c>
      <c r="T82" s="115" t="e">
        <f t="shared" si="4"/>
        <v>#REF!</v>
      </c>
      <c r="U82" s="115" t="e">
        <f t="shared" si="4"/>
        <v>#REF!</v>
      </c>
      <c r="V82" s="115" t="e">
        <f t="shared" si="4"/>
        <v>#REF!</v>
      </c>
      <c r="W82" s="115" t="e">
        <f t="shared" si="4"/>
        <v>#REF!</v>
      </c>
      <c r="X82" s="115" t="e">
        <f t="shared" si="4"/>
        <v>#REF!</v>
      </c>
      <c r="Y82" s="115" t="e">
        <f t="shared" si="4"/>
        <v>#REF!</v>
      </c>
      <c r="Z82" s="115" t="e">
        <f t="shared" si="4"/>
        <v>#REF!</v>
      </c>
      <c r="AA82" s="115" t="e">
        <f t="shared" si="4"/>
        <v>#REF!</v>
      </c>
      <c r="AB82" s="115" t="e">
        <f t="shared" si="4"/>
        <v>#REF!</v>
      </c>
      <c r="AC82" s="115" t="e">
        <f t="shared" si="4"/>
        <v>#REF!</v>
      </c>
      <c r="AD82" s="115" t="e">
        <f t="shared" si="4"/>
        <v>#REF!</v>
      </c>
      <c r="AE82" s="115" t="e">
        <f t="shared" si="4"/>
        <v>#REF!</v>
      </c>
      <c r="AF82" s="115" t="e">
        <f t="shared" si="4"/>
        <v>#REF!</v>
      </c>
      <c r="AG82" s="115" t="e">
        <f t="shared" si="4"/>
        <v>#REF!</v>
      </c>
      <c r="AH82" s="115" t="e">
        <f t="shared" ref="AH82" si="5">SUM(J82:AG82)</f>
        <v>#REF!</v>
      </c>
      <c r="AI82" s="390"/>
      <c r="AL82"/>
    </row>
    <row r="83" spans="2:38" ht="15.75" thickBot="1"/>
    <row r="84" spans="2:38">
      <c r="E84" s="256" t="s">
        <v>12</v>
      </c>
      <c r="F84" s="257" t="s">
        <v>13</v>
      </c>
      <c r="G84" s="257" t="str">
        <f>CONCATENATE(E84,F84)</f>
        <v>MGTManpower</v>
      </c>
      <c r="H84" s="257"/>
      <c r="I84" s="274"/>
      <c r="J84" s="268" t="e">
        <f>SUMIF($G$14:$G$79,$G84,J$14:J$79)</f>
        <v>#REF!</v>
      </c>
      <c r="K84" s="258" t="e">
        <f t="shared" ref="K84:AH88" si="6">SUMIF($G$14:$G$79,$G84,K$14:K$79)</f>
        <v>#REF!</v>
      </c>
      <c r="L84" s="258" t="e">
        <f t="shared" si="6"/>
        <v>#REF!</v>
      </c>
      <c r="M84" s="258" t="e">
        <f t="shared" si="6"/>
        <v>#REF!</v>
      </c>
      <c r="N84" s="258" t="e">
        <f t="shared" si="6"/>
        <v>#REF!</v>
      </c>
      <c r="O84" s="258" t="e">
        <f t="shared" si="6"/>
        <v>#REF!</v>
      </c>
      <c r="P84" s="258" t="e">
        <f t="shared" si="6"/>
        <v>#REF!</v>
      </c>
      <c r="Q84" s="258" t="e">
        <f t="shared" si="6"/>
        <v>#REF!</v>
      </c>
      <c r="R84" s="258" t="e">
        <f t="shared" si="6"/>
        <v>#REF!</v>
      </c>
      <c r="S84" s="258" t="e">
        <f t="shared" si="6"/>
        <v>#REF!</v>
      </c>
      <c r="T84" s="258" t="e">
        <f t="shared" si="6"/>
        <v>#REF!</v>
      </c>
      <c r="U84" s="258" t="e">
        <f t="shared" si="6"/>
        <v>#REF!</v>
      </c>
      <c r="V84" s="258" t="e">
        <f t="shared" si="6"/>
        <v>#REF!</v>
      </c>
      <c r="W84" s="258" t="e">
        <f t="shared" si="6"/>
        <v>#REF!</v>
      </c>
      <c r="X84" s="258" t="e">
        <f t="shared" si="6"/>
        <v>#REF!</v>
      </c>
      <c r="Y84" s="258" t="e">
        <f t="shared" si="6"/>
        <v>#REF!</v>
      </c>
      <c r="Z84" s="258" t="e">
        <f t="shared" si="6"/>
        <v>#REF!</v>
      </c>
      <c r="AA84" s="258" t="e">
        <f t="shared" si="6"/>
        <v>#REF!</v>
      </c>
      <c r="AB84" s="258" t="e">
        <f t="shared" si="6"/>
        <v>#REF!</v>
      </c>
      <c r="AC84" s="258" t="e">
        <f t="shared" si="6"/>
        <v>#REF!</v>
      </c>
      <c r="AD84" s="258" t="e">
        <f t="shared" si="6"/>
        <v>#REF!</v>
      </c>
      <c r="AE84" s="258" t="e">
        <f t="shared" si="6"/>
        <v>#REF!</v>
      </c>
      <c r="AF84" s="258" t="e">
        <f t="shared" si="6"/>
        <v>#REF!</v>
      </c>
      <c r="AG84" s="259" t="e">
        <f t="shared" si="6"/>
        <v>#REF!</v>
      </c>
      <c r="AH84" s="271" t="e">
        <f t="shared" si="6"/>
        <v>#REF!</v>
      </c>
      <c r="AK84" s="124"/>
    </row>
    <row r="85" spans="2:38">
      <c r="E85" s="260" t="s">
        <v>14</v>
      </c>
      <c r="F85" s="36" t="s">
        <v>13</v>
      </c>
      <c r="G85" s="36" t="str">
        <f>CONCATENATE(E85,F85)</f>
        <v>MISSIONManpower</v>
      </c>
      <c r="I85" s="275"/>
      <c r="J85" s="269" t="e">
        <f t="shared" ref="J85:Y88" si="7">SUMIF($G$14:$G$79,$G85,J$14:J$79)</f>
        <v>#REF!</v>
      </c>
      <c r="K85" s="261" t="e">
        <f t="shared" si="7"/>
        <v>#REF!</v>
      </c>
      <c r="L85" s="261" t="e">
        <f t="shared" si="7"/>
        <v>#REF!</v>
      </c>
      <c r="M85" s="261" t="e">
        <f t="shared" si="7"/>
        <v>#REF!</v>
      </c>
      <c r="N85" s="261" t="e">
        <f t="shared" si="7"/>
        <v>#REF!</v>
      </c>
      <c r="O85" s="261" t="e">
        <f t="shared" si="7"/>
        <v>#REF!</v>
      </c>
      <c r="P85" s="261" t="e">
        <f t="shared" si="7"/>
        <v>#REF!</v>
      </c>
      <c r="Q85" s="261" t="e">
        <f t="shared" si="7"/>
        <v>#REF!</v>
      </c>
      <c r="R85" s="261" t="e">
        <f t="shared" si="7"/>
        <v>#REF!</v>
      </c>
      <c r="S85" s="261" t="e">
        <f t="shared" si="7"/>
        <v>#REF!</v>
      </c>
      <c r="T85" s="261" t="e">
        <f t="shared" si="7"/>
        <v>#REF!</v>
      </c>
      <c r="U85" s="261" t="e">
        <f t="shared" si="7"/>
        <v>#REF!</v>
      </c>
      <c r="V85" s="261" t="e">
        <f t="shared" si="7"/>
        <v>#REF!</v>
      </c>
      <c r="W85" s="261" t="e">
        <f t="shared" si="7"/>
        <v>#REF!</v>
      </c>
      <c r="X85" s="261" t="e">
        <f t="shared" si="7"/>
        <v>#REF!</v>
      </c>
      <c r="Y85" s="261" t="e">
        <f t="shared" si="7"/>
        <v>#REF!</v>
      </c>
      <c r="Z85" s="261" t="e">
        <f t="shared" si="6"/>
        <v>#REF!</v>
      </c>
      <c r="AA85" s="261" t="e">
        <f t="shared" si="6"/>
        <v>#REF!</v>
      </c>
      <c r="AB85" s="261" t="e">
        <f t="shared" si="6"/>
        <v>#REF!</v>
      </c>
      <c r="AC85" s="261" t="e">
        <f t="shared" si="6"/>
        <v>#REF!</v>
      </c>
      <c r="AD85" s="261" t="e">
        <f t="shared" si="6"/>
        <v>#REF!</v>
      </c>
      <c r="AE85" s="261" t="e">
        <f t="shared" si="6"/>
        <v>#REF!</v>
      </c>
      <c r="AF85" s="261" t="e">
        <f t="shared" si="6"/>
        <v>#REF!</v>
      </c>
      <c r="AG85" s="262" t="e">
        <f t="shared" si="6"/>
        <v>#REF!</v>
      </c>
      <c r="AH85" s="272" t="e">
        <f t="shared" si="6"/>
        <v>#REF!</v>
      </c>
    </row>
    <row r="86" spans="2:38" ht="15.75" thickBot="1">
      <c r="E86" s="263" t="s">
        <v>139</v>
      </c>
      <c r="F86" s="264" t="s">
        <v>13</v>
      </c>
      <c r="G86" s="264" t="str">
        <f>CONCATENATE(E86,F86)</f>
        <v>TECHManpower</v>
      </c>
      <c r="H86" s="264"/>
      <c r="I86" s="276"/>
      <c r="J86" s="270" t="e">
        <f t="shared" si="7"/>
        <v>#REF!</v>
      </c>
      <c r="K86" s="266" t="e">
        <f t="shared" si="6"/>
        <v>#REF!</v>
      </c>
      <c r="L86" s="266" t="e">
        <f t="shared" si="6"/>
        <v>#REF!</v>
      </c>
      <c r="M86" s="266" t="e">
        <f t="shared" si="6"/>
        <v>#REF!</v>
      </c>
      <c r="N86" s="266" t="e">
        <f t="shared" si="6"/>
        <v>#REF!</v>
      </c>
      <c r="O86" s="266" t="e">
        <f t="shared" si="6"/>
        <v>#REF!</v>
      </c>
      <c r="P86" s="266" t="e">
        <f t="shared" si="6"/>
        <v>#REF!</v>
      </c>
      <c r="Q86" s="266" t="e">
        <f t="shared" si="6"/>
        <v>#REF!</v>
      </c>
      <c r="R86" s="266" t="e">
        <f t="shared" si="6"/>
        <v>#REF!</v>
      </c>
      <c r="S86" s="266" t="e">
        <f t="shared" si="6"/>
        <v>#REF!</v>
      </c>
      <c r="T86" s="266" t="e">
        <f t="shared" si="6"/>
        <v>#REF!</v>
      </c>
      <c r="U86" s="266" t="e">
        <f t="shared" si="6"/>
        <v>#REF!</v>
      </c>
      <c r="V86" s="266" t="e">
        <f t="shared" si="6"/>
        <v>#REF!</v>
      </c>
      <c r="W86" s="266" t="e">
        <f t="shared" si="6"/>
        <v>#REF!</v>
      </c>
      <c r="X86" s="266" t="e">
        <f t="shared" si="6"/>
        <v>#REF!</v>
      </c>
      <c r="Y86" s="266" t="e">
        <f t="shared" si="6"/>
        <v>#REF!</v>
      </c>
      <c r="Z86" s="266" t="e">
        <f t="shared" si="6"/>
        <v>#REF!</v>
      </c>
      <c r="AA86" s="266" t="e">
        <f t="shared" si="6"/>
        <v>#REF!</v>
      </c>
      <c r="AB86" s="266" t="e">
        <f t="shared" si="6"/>
        <v>#REF!</v>
      </c>
      <c r="AC86" s="266" t="e">
        <f t="shared" si="6"/>
        <v>#REF!</v>
      </c>
      <c r="AD86" s="266" t="e">
        <f t="shared" si="6"/>
        <v>#REF!</v>
      </c>
      <c r="AE86" s="266" t="e">
        <f t="shared" si="6"/>
        <v>#REF!</v>
      </c>
      <c r="AF86" s="266" t="e">
        <f t="shared" si="6"/>
        <v>#REF!</v>
      </c>
      <c r="AG86" s="267" t="e">
        <f t="shared" si="6"/>
        <v>#REF!</v>
      </c>
      <c r="AH86" s="273" t="e">
        <f t="shared" si="6"/>
        <v>#REF!</v>
      </c>
    </row>
    <row r="87" spans="2:38">
      <c r="E87" s="260" t="s">
        <v>14</v>
      </c>
      <c r="F87" s="37" t="s">
        <v>117</v>
      </c>
      <c r="G87" s="36" t="str">
        <f>CONCATENATE(E87,F87)</f>
        <v>MISSIONProcurement</v>
      </c>
      <c r="H87" s="37"/>
      <c r="J87" s="269" t="e">
        <f t="shared" si="7"/>
        <v>#REF!</v>
      </c>
      <c r="K87" s="261" t="e">
        <f t="shared" si="6"/>
        <v>#REF!</v>
      </c>
      <c r="L87" s="261" t="e">
        <f t="shared" si="6"/>
        <v>#REF!</v>
      </c>
      <c r="M87" s="261" t="e">
        <f t="shared" si="6"/>
        <v>#REF!</v>
      </c>
      <c r="N87" s="261" t="e">
        <f t="shared" si="6"/>
        <v>#REF!</v>
      </c>
      <c r="O87" s="261" t="e">
        <f t="shared" si="6"/>
        <v>#REF!</v>
      </c>
      <c r="P87" s="261" t="e">
        <f t="shared" si="6"/>
        <v>#REF!</v>
      </c>
      <c r="Q87" s="261" t="e">
        <f t="shared" si="6"/>
        <v>#REF!</v>
      </c>
      <c r="R87" s="261" t="e">
        <f t="shared" si="6"/>
        <v>#REF!</v>
      </c>
      <c r="S87" s="261" t="e">
        <f t="shared" si="6"/>
        <v>#REF!</v>
      </c>
      <c r="T87" s="261" t="e">
        <f t="shared" si="6"/>
        <v>#REF!</v>
      </c>
      <c r="U87" s="261" t="e">
        <f t="shared" si="6"/>
        <v>#REF!</v>
      </c>
      <c r="V87" s="261" t="e">
        <f t="shared" si="6"/>
        <v>#REF!</v>
      </c>
      <c r="W87" s="261" t="e">
        <f t="shared" si="6"/>
        <v>#REF!</v>
      </c>
      <c r="X87" s="261" t="e">
        <f t="shared" si="6"/>
        <v>#REF!</v>
      </c>
      <c r="Y87" s="261" t="e">
        <f t="shared" si="6"/>
        <v>#REF!</v>
      </c>
      <c r="Z87" s="261" t="e">
        <f t="shared" si="6"/>
        <v>#REF!</v>
      </c>
      <c r="AA87" s="261" t="e">
        <f t="shared" si="6"/>
        <v>#REF!</v>
      </c>
      <c r="AB87" s="261" t="e">
        <f t="shared" si="6"/>
        <v>#REF!</v>
      </c>
      <c r="AC87" s="261" t="e">
        <f t="shared" si="6"/>
        <v>#REF!</v>
      </c>
      <c r="AD87" s="261" t="e">
        <f t="shared" si="6"/>
        <v>#REF!</v>
      </c>
      <c r="AE87" s="261" t="e">
        <f t="shared" si="6"/>
        <v>#REF!</v>
      </c>
      <c r="AF87" s="261" t="e">
        <f t="shared" si="6"/>
        <v>#REF!</v>
      </c>
      <c r="AG87" s="262" t="e">
        <f t="shared" si="6"/>
        <v>#REF!</v>
      </c>
      <c r="AH87" s="262" t="e">
        <f t="shared" si="6"/>
        <v>#REF!</v>
      </c>
    </row>
    <row r="88" spans="2:38" ht="15.75" thickBot="1">
      <c r="E88" s="263" t="s">
        <v>139</v>
      </c>
      <c r="F88" s="264" t="s">
        <v>117</v>
      </c>
      <c r="G88" s="264" t="str">
        <f>CONCATENATE(E88,F88)</f>
        <v>TECHProcurement</v>
      </c>
      <c r="H88" s="264"/>
      <c r="I88" s="265"/>
      <c r="J88" s="270" t="e">
        <f t="shared" si="7"/>
        <v>#REF!</v>
      </c>
      <c r="K88" s="266" t="e">
        <f t="shared" si="6"/>
        <v>#REF!</v>
      </c>
      <c r="L88" s="266" t="e">
        <f t="shared" si="6"/>
        <v>#REF!</v>
      </c>
      <c r="M88" s="266" t="e">
        <f t="shared" si="6"/>
        <v>#REF!</v>
      </c>
      <c r="N88" s="266" t="e">
        <f t="shared" si="6"/>
        <v>#REF!</v>
      </c>
      <c r="O88" s="266" t="e">
        <f t="shared" si="6"/>
        <v>#REF!</v>
      </c>
      <c r="P88" s="266" t="e">
        <f t="shared" si="6"/>
        <v>#REF!</v>
      </c>
      <c r="Q88" s="266" t="e">
        <f t="shared" si="6"/>
        <v>#REF!</v>
      </c>
      <c r="R88" s="266" t="e">
        <f t="shared" si="6"/>
        <v>#REF!</v>
      </c>
      <c r="S88" s="266" t="e">
        <f t="shared" si="6"/>
        <v>#REF!</v>
      </c>
      <c r="T88" s="266" t="e">
        <f t="shared" si="6"/>
        <v>#REF!</v>
      </c>
      <c r="U88" s="266" t="e">
        <f t="shared" si="6"/>
        <v>#REF!</v>
      </c>
      <c r="V88" s="266" t="e">
        <f t="shared" si="6"/>
        <v>#REF!</v>
      </c>
      <c r="W88" s="266" t="e">
        <f t="shared" si="6"/>
        <v>#REF!</v>
      </c>
      <c r="X88" s="266" t="e">
        <f t="shared" si="6"/>
        <v>#REF!</v>
      </c>
      <c r="Y88" s="266" t="e">
        <f t="shared" si="6"/>
        <v>#REF!</v>
      </c>
      <c r="Z88" s="266" t="e">
        <f t="shared" si="6"/>
        <v>#REF!</v>
      </c>
      <c r="AA88" s="266" t="e">
        <f t="shared" si="6"/>
        <v>#REF!</v>
      </c>
      <c r="AB88" s="266" t="e">
        <f t="shared" si="6"/>
        <v>#REF!</v>
      </c>
      <c r="AC88" s="266" t="e">
        <f t="shared" si="6"/>
        <v>#REF!</v>
      </c>
      <c r="AD88" s="266" t="e">
        <f t="shared" si="6"/>
        <v>#REF!</v>
      </c>
      <c r="AE88" s="266" t="e">
        <f t="shared" si="6"/>
        <v>#REF!</v>
      </c>
      <c r="AF88" s="266" t="e">
        <f t="shared" si="6"/>
        <v>#REF!</v>
      </c>
      <c r="AG88" s="267" t="e">
        <f t="shared" si="6"/>
        <v>#REF!</v>
      </c>
      <c r="AH88" s="267" t="e">
        <f t="shared" si="6"/>
        <v>#REF!</v>
      </c>
    </row>
    <row r="90" spans="2:38">
      <c r="J90" s="124" t="e">
        <f t="shared" ref="J90:AH90" si="8">SUM(J84:J88)</f>
        <v>#REF!</v>
      </c>
      <c r="K90" s="124" t="e">
        <f t="shared" si="8"/>
        <v>#REF!</v>
      </c>
      <c r="L90" s="124" t="e">
        <f t="shared" si="8"/>
        <v>#REF!</v>
      </c>
      <c r="M90" s="124" t="e">
        <f t="shared" si="8"/>
        <v>#REF!</v>
      </c>
      <c r="N90" s="124" t="e">
        <f t="shared" si="8"/>
        <v>#REF!</v>
      </c>
      <c r="O90" s="124" t="e">
        <f t="shared" si="8"/>
        <v>#REF!</v>
      </c>
      <c r="P90" s="124" t="e">
        <f t="shared" si="8"/>
        <v>#REF!</v>
      </c>
      <c r="Q90" s="124" t="e">
        <f t="shared" si="8"/>
        <v>#REF!</v>
      </c>
      <c r="R90" s="124" t="e">
        <f t="shared" si="8"/>
        <v>#REF!</v>
      </c>
      <c r="S90" s="124" t="e">
        <f t="shared" si="8"/>
        <v>#REF!</v>
      </c>
      <c r="T90" s="124" t="e">
        <f t="shared" si="8"/>
        <v>#REF!</v>
      </c>
      <c r="U90" s="124" t="e">
        <f t="shared" si="8"/>
        <v>#REF!</v>
      </c>
      <c r="V90" s="124" t="e">
        <f t="shared" si="8"/>
        <v>#REF!</v>
      </c>
      <c r="W90" s="124" t="e">
        <f t="shared" si="8"/>
        <v>#REF!</v>
      </c>
      <c r="X90" s="124" t="e">
        <f t="shared" si="8"/>
        <v>#REF!</v>
      </c>
      <c r="Y90" s="124" t="e">
        <f t="shared" si="8"/>
        <v>#REF!</v>
      </c>
      <c r="Z90" s="124" t="e">
        <f t="shared" si="8"/>
        <v>#REF!</v>
      </c>
      <c r="AA90" s="124" t="e">
        <f t="shared" si="8"/>
        <v>#REF!</v>
      </c>
      <c r="AB90" s="124" t="e">
        <f t="shared" si="8"/>
        <v>#REF!</v>
      </c>
      <c r="AC90" s="124" t="e">
        <f t="shared" si="8"/>
        <v>#REF!</v>
      </c>
      <c r="AD90" s="124" t="e">
        <f t="shared" si="8"/>
        <v>#REF!</v>
      </c>
      <c r="AE90" s="124" t="e">
        <f t="shared" si="8"/>
        <v>#REF!</v>
      </c>
      <c r="AF90" s="124" t="e">
        <f t="shared" si="8"/>
        <v>#REF!</v>
      </c>
      <c r="AG90" s="124" t="e">
        <f t="shared" si="8"/>
        <v>#REF!</v>
      </c>
      <c r="AH90" s="115" t="e">
        <f t="shared" si="8"/>
        <v>#REF!</v>
      </c>
    </row>
    <row r="91" spans="2:38">
      <c r="L91" s="124" t="e">
        <f>L90-L81</f>
        <v>#REF!</v>
      </c>
      <c r="M91" s="124" t="e">
        <f t="shared" ref="M91:AH91" si="9">M90-M81</f>
        <v>#REF!</v>
      </c>
      <c r="N91" s="124" t="e">
        <f t="shared" si="9"/>
        <v>#REF!</v>
      </c>
      <c r="O91" s="124" t="e">
        <f t="shared" si="9"/>
        <v>#REF!</v>
      </c>
      <c r="P91" s="124" t="e">
        <f t="shared" si="9"/>
        <v>#REF!</v>
      </c>
      <c r="Q91" s="124" t="e">
        <f t="shared" si="9"/>
        <v>#REF!</v>
      </c>
      <c r="R91" s="124" t="e">
        <f t="shared" si="9"/>
        <v>#REF!</v>
      </c>
      <c r="S91" s="124" t="e">
        <f t="shared" si="9"/>
        <v>#REF!</v>
      </c>
      <c r="T91" s="124" t="e">
        <f t="shared" si="9"/>
        <v>#REF!</v>
      </c>
      <c r="U91" s="124" t="e">
        <f t="shared" si="9"/>
        <v>#REF!</v>
      </c>
      <c r="V91" s="124" t="e">
        <f t="shared" si="9"/>
        <v>#REF!</v>
      </c>
      <c r="W91" s="124" t="e">
        <f t="shared" si="9"/>
        <v>#REF!</v>
      </c>
      <c r="X91" s="124" t="e">
        <f t="shared" si="9"/>
        <v>#REF!</v>
      </c>
      <c r="Y91" s="124" t="e">
        <f t="shared" si="9"/>
        <v>#REF!</v>
      </c>
      <c r="Z91" s="124" t="e">
        <f t="shared" si="9"/>
        <v>#REF!</v>
      </c>
      <c r="AA91" s="124" t="e">
        <f t="shared" si="9"/>
        <v>#REF!</v>
      </c>
      <c r="AB91" s="124" t="e">
        <f t="shared" si="9"/>
        <v>#REF!</v>
      </c>
      <c r="AC91" s="124" t="e">
        <f t="shared" si="9"/>
        <v>#REF!</v>
      </c>
      <c r="AD91" s="124" t="e">
        <f t="shared" si="9"/>
        <v>#REF!</v>
      </c>
      <c r="AE91" s="124" t="e">
        <f t="shared" si="9"/>
        <v>#REF!</v>
      </c>
      <c r="AF91" s="124" t="e">
        <f t="shared" si="9"/>
        <v>#REF!</v>
      </c>
      <c r="AG91" s="124" t="e">
        <f t="shared" si="9"/>
        <v>#REF!</v>
      </c>
      <c r="AH91" s="115" t="e">
        <f t="shared" si="9"/>
        <v>#REF!</v>
      </c>
    </row>
    <row r="92" spans="2:38">
      <c r="G92" s="36" t="s">
        <v>636</v>
      </c>
      <c r="J92" s="124" t="e">
        <f>SUM(J84:R86)</f>
        <v>#REF!</v>
      </c>
    </row>
    <row r="93" spans="2:38">
      <c r="G93" s="36" t="s">
        <v>637</v>
      </c>
      <c r="J93" s="124" t="e">
        <f>J92*0.5</f>
        <v>#REF!</v>
      </c>
    </row>
  </sheetData>
  <mergeCells count="5">
    <mergeCell ref="J9:L9"/>
    <mergeCell ref="M9:R9"/>
    <mergeCell ref="S9:V9"/>
    <mergeCell ref="W9:AD9"/>
    <mergeCell ref="AE9:AG9"/>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BE92"/>
  <sheetViews>
    <sheetView zoomScale="120" zoomScaleNormal="120" workbookViewId="0">
      <pane xSplit="9" ySplit="12" topLeftCell="AA60" activePane="bottomRight" state="frozen"/>
      <selection pane="topRight" activeCell="E1" sqref="E1"/>
      <selection pane="bottomLeft" activeCell="E1" sqref="E1"/>
      <selection pane="bottomRight" activeCell="H93" sqref="H93"/>
    </sheetView>
  </sheetViews>
  <sheetFormatPr defaultColWidth="8.85546875" defaultRowHeight="15"/>
  <cols>
    <col min="1" max="1" width="5.28515625" customWidth="1"/>
    <col min="2" max="2" width="31.42578125" customWidth="1"/>
    <col min="3" max="3" width="10.140625" customWidth="1"/>
    <col min="4" max="4" width="6.85546875" customWidth="1"/>
    <col min="5" max="5" width="8.85546875" style="36"/>
    <col min="6" max="6" width="12.42578125" style="36" bestFit="1" customWidth="1"/>
    <col min="7" max="7" width="12.42578125" style="36" customWidth="1"/>
    <col min="8" max="8" width="15.85546875" style="36" customWidth="1"/>
    <col min="9" max="9" width="12.42578125" bestFit="1" customWidth="1"/>
    <col min="12" max="13" width="14.140625" bestFit="1" customWidth="1"/>
    <col min="14" max="17" width="9.140625" bestFit="1" customWidth="1"/>
    <col min="18" max="18" width="6.85546875" customWidth="1"/>
    <col min="19" max="19" width="9.140625" bestFit="1" customWidth="1"/>
    <col min="26" max="26" width="6.85546875" customWidth="1"/>
    <col min="34" max="34" width="11.28515625" customWidth="1"/>
  </cols>
  <sheetData>
    <row r="1" spans="1:35" ht="18.75">
      <c r="A1" s="1" t="s">
        <v>528</v>
      </c>
    </row>
    <row r="2" spans="1:35" hidden="1"/>
    <row r="3" spans="1:35" hidden="1"/>
    <row r="4" spans="1:35" hidden="1"/>
    <row r="5" spans="1:35" hidden="1">
      <c r="B5" s="4" t="s">
        <v>529</v>
      </c>
    </row>
    <row r="6" spans="1:35" hidden="1">
      <c r="B6" s="6" t="s">
        <v>530</v>
      </c>
      <c r="C6" s="7">
        <v>2019</v>
      </c>
    </row>
    <row r="7" spans="1:35" hidden="1">
      <c r="B7" s="6" t="s">
        <v>531</v>
      </c>
      <c r="C7" s="125" t="s">
        <v>532</v>
      </c>
      <c r="D7" s="17"/>
    </row>
    <row r="8" spans="1:35">
      <c r="I8" t="s">
        <v>533</v>
      </c>
      <c r="J8" s="2">
        <v>2020</v>
      </c>
      <c r="K8" s="2"/>
      <c r="L8" s="2"/>
      <c r="M8" s="2"/>
      <c r="N8" s="3">
        <v>2021</v>
      </c>
      <c r="O8" s="3"/>
      <c r="P8" s="3"/>
      <c r="Q8" s="3"/>
      <c r="R8" s="2">
        <v>2022</v>
      </c>
      <c r="S8" s="2"/>
      <c r="T8" s="2"/>
      <c r="U8" s="2"/>
      <c r="V8" s="3">
        <v>2023</v>
      </c>
      <c r="W8" s="3"/>
      <c r="X8" s="3"/>
      <c r="Y8" s="3"/>
      <c r="Z8" s="2">
        <v>2024</v>
      </c>
      <c r="AA8" s="2"/>
      <c r="AB8" s="2"/>
      <c r="AC8" s="2"/>
      <c r="AD8" s="3">
        <v>2025</v>
      </c>
      <c r="AE8" s="3"/>
      <c r="AF8" s="3"/>
      <c r="AG8" s="3"/>
      <c r="AH8" t="s">
        <v>534</v>
      </c>
    </row>
    <row r="9" spans="1:35">
      <c r="I9" t="s">
        <v>27</v>
      </c>
      <c r="J9" t="s">
        <v>536</v>
      </c>
      <c r="M9" t="s">
        <v>537</v>
      </c>
    </row>
    <row r="10" spans="1:35">
      <c r="A10" t="s">
        <v>541</v>
      </c>
      <c r="B10" s="9" t="s">
        <v>542</v>
      </c>
      <c r="C10" s="10"/>
      <c r="D10" s="11"/>
      <c r="E10" s="36" t="s">
        <v>543</v>
      </c>
      <c r="F10" s="36" t="s">
        <v>544</v>
      </c>
      <c r="G10" s="36" t="s">
        <v>545</v>
      </c>
      <c r="H10" s="36" t="s">
        <v>546</v>
      </c>
      <c r="I10" s="17" t="s">
        <v>547</v>
      </c>
      <c r="J10" s="17" t="s">
        <v>548</v>
      </c>
      <c r="K10" s="17" t="s">
        <v>549</v>
      </c>
      <c r="L10" s="17" t="s">
        <v>550</v>
      </c>
      <c r="M10" s="17" t="s">
        <v>551</v>
      </c>
      <c r="N10" s="17" t="s">
        <v>548</v>
      </c>
      <c r="O10" s="17" t="s">
        <v>549</v>
      </c>
      <c r="P10" s="17" t="s">
        <v>550</v>
      </c>
      <c r="Q10" s="17" t="s">
        <v>551</v>
      </c>
      <c r="R10" s="17" t="s">
        <v>548</v>
      </c>
      <c r="S10" s="17" t="s">
        <v>549</v>
      </c>
      <c r="T10" s="17" t="s">
        <v>550</v>
      </c>
      <c r="U10" s="17" t="s">
        <v>551</v>
      </c>
      <c r="V10" s="17" t="s">
        <v>548</v>
      </c>
      <c r="W10" s="17" t="s">
        <v>549</v>
      </c>
      <c r="X10" s="17" t="s">
        <v>550</v>
      </c>
      <c r="Y10" s="17" t="s">
        <v>551</v>
      </c>
      <c r="Z10" s="17" t="s">
        <v>548</v>
      </c>
      <c r="AA10" s="17" t="s">
        <v>549</v>
      </c>
      <c r="AB10" s="17" t="s">
        <v>550</v>
      </c>
      <c r="AC10" s="17" t="s">
        <v>551</v>
      </c>
      <c r="AD10" s="17" t="s">
        <v>548</v>
      </c>
      <c r="AE10" s="17" t="s">
        <v>549</v>
      </c>
      <c r="AF10" s="17" t="s">
        <v>550</v>
      </c>
      <c r="AG10" s="17" t="s">
        <v>551</v>
      </c>
    </row>
    <row r="11" spans="1:35">
      <c r="B11" s="12" t="s">
        <v>552</v>
      </c>
      <c r="C11" s="13"/>
      <c r="D11" s="14"/>
      <c r="I11" s="17" t="s">
        <v>553</v>
      </c>
      <c r="J11" s="17" t="s">
        <v>554</v>
      </c>
      <c r="K11" s="17"/>
      <c r="L11" s="17"/>
      <c r="M11" s="17" t="s">
        <v>555</v>
      </c>
      <c r="N11" s="17"/>
      <c r="O11" s="17"/>
      <c r="P11" s="17"/>
      <c r="Q11" s="17"/>
      <c r="R11" s="17"/>
      <c r="S11" s="17"/>
      <c r="T11" s="17"/>
      <c r="U11" s="17"/>
      <c r="V11" s="17"/>
      <c r="W11" s="17"/>
      <c r="X11" s="17"/>
      <c r="Y11" s="17"/>
      <c r="Z11" s="17"/>
      <c r="AA11" s="17"/>
      <c r="AB11" s="17"/>
      <c r="AC11" s="17"/>
      <c r="AD11" s="17"/>
      <c r="AE11" s="17"/>
      <c r="AF11" s="17"/>
      <c r="AG11" s="17"/>
    </row>
    <row r="12" spans="1:35">
      <c r="B12" s="39" t="s">
        <v>556</v>
      </c>
      <c r="C12" s="40"/>
      <c r="D12" s="41"/>
      <c r="J12" s="8">
        <v>43862</v>
      </c>
      <c r="K12" s="8">
        <v>43922</v>
      </c>
      <c r="L12" s="8">
        <v>44012</v>
      </c>
      <c r="M12" s="8"/>
    </row>
    <row r="13" spans="1:35">
      <c r="B13" s="42" t="s">
        <v>557</v>
      </c>
      <c r="C13" s="43"/>
      <c r="D13" s="44"/>
    </row>
    <row r="14" spans="1:35">
      <c r="A14" t="s">
        <v>32</v>
      </c>
      <c r="B14" s="42" t="s">
        <v>558</v>
      </c>
      <c r="C14" s="43"/>
      <c r="D14" s="44"/>
      <c r="E14" s="36" t="s">
        <v>12</v>
      </c>
      <c r="F14" s="36" t="s">
        <v>13</v>
      </c>
      <c r="G14" s="36" t="str">
        <f>CONCATENATE(E14,F14)</f>
        <v>MGTManpower</v>
      </c>
      <c r="H14" s="60">
        <v>110000</v>
      </c>
      <c r="J14" s="28"/>
      <c r="K14" s="28"/>
      <c r="L14" s="284">
        <f>SUMIF(Airbus!$A:$A,'Price Table 8 Airbus'!$A14,Airbus!K:K)</f>
        <v>41.121730647312667</v>
      </c>
      <c r="M14" s="284">
        <f>SUMIF(Airbus!$A:$A,'Price Table 8 Airbus'!$A14,Airbus!L:L)</f>
        <v>116.22899985241307</v>
      </c>
      <c r="N14" s="284">
        <f>SUMIF(Airbus!$A:$A,'Price Table 8 Airbus'!$A14,Airbus!M:M)</f>
        <v>118.94819267244702</v>
      </c>
      <c r="O14" s="284">
        <f>SUMIF(Airbus!$A:$A,'Price Table 8 Airbus'!$A14,Airbus!N:N)</f>
        <v>118.94819267244702</v>
      </c>
      <c r="P14" s="284">
        <f>SUMIF(Airbus!$A:$A,'Price Table 8 Airbus'!$A14,Airbus!O:O)</f>
        <v>118.94819267244702</v>
      </c>
      <c r="Q14" s="284">
        <f>SUMIF(Airbus!$A:$A,'Price Table 8 Airbus'!$A14,Airbus!P:P)</f>
        <v>118.94819267244702</v>
      </c>
      <c r="R14" s="284">
        <f>SUMIF(Airbus!$A:$A,'Price Table 8 Airbus'!$A14,Airbus!Q:Q)</f>
        <v>121.73733257466834</v>
      </c>
      <c r="S14" s="284">
        <f>SUMIF(Airbus!$A:$A,'Price Table 8 Airbus'!$A14,Airbus!R:R)</f>
        <v>101.43916623581798</v>
      </c>
      <c r="T14" s="284">
        <f>SUMIF(Airbus!$A:$A,'Price Table 8 Airbus'!$A14,Airbus!S:S)</f>
        <v>0</v>
      </c>
      <c r="U14" s="284">
        <f>SUMIF(Airbus!$A:$A,'Price Table 8 Airbus'!$A14,Airbus!T:T)</f>
        <v>0</v>
      </c>
      <c r="V14" s="284">
        <f>SUMIF(Airbus!$A:$A,'Price Table 8 Airbus'!$A14,Airbus!U:U)</f>
        <v>0</v>
      </c>
      <c r="W14" s="284">
        <f>SUMIF(Airbus!$A:$A,'Price Table 8 Airbus'!$A14,Airbus!V:V)</f>
        <v>0</v>
      </c>
      <c r="X14" s="284">
        <f>SUMIF(Airbus!$A:$A,'Price Table 8 Airbus'!$A14,Airbus!W:W)</f>
        <v>0</v>
      </c>
      <c r="Y14" s="284">
        <f>SUMIF(Airbus!$A:$A,'Price Table 8 Airbus'!$A14,Airbus!X:X)</f>
        <v>0</v>
      </c>
      <c r="Z14" s="28"/>
      <c r="AA14" s="28"/>
      <c r="AB14" s="28"/>
      <c r="AC14" s="28"/>
      <c r="AD14" s="28"/>
      <c r="AE14" s="28"/>
      <c r="AF14" s="28"/>
      <c r="AG14" s="28"/>
      <c r="AH14" s="115">
        <f>SUM(J14:AG14)</f>
        <v>856.32000000000016</v>
      </c>
      <c r="AI14" s="115">
        <f>SUMIF(Airbus!$A:$A,'Price Table 8 Airbus'!$A14,Airbus!V:V)</f>
        <v>0</v>
      </c>
    </row>
    <row r="15" spans="1:35">
      <c r="A15" t="s">
        <v>76</v>
      </c>
      <c r="B15" s="42" t="s">
        <v>559</v>
      </c>
      <c r="C15" s="43"/>
      <c r="D15" s="44"/>
      <c r="E15" s="36" t="s">
        <v>12</v>
      </c>
      <c r="F15" s="36" t="s">
        <v>13</v>
      </c>
      <c r="G15" s="36" t="str">
        <f>CONCATENATE(E15,F15)</f>
        <v>MGTManpower</v>
      </c>
      <c r="H15" s="16">
        <v>130000</v>
      </c>
      <c r="J15" s="28"/>
      <c r="K15" s="28"/>
      <c r="L15" s="284">
        <f>SUMIF(Airbus!$A:$A,'Price Table 8 Airbus'!$A15,Airbus!K:K)</f>
        <v>24.933599860514541</v>
      </c>
      <c r="M15" s="284">
        <f>SUMIF(Airbus!$A:$A,'Price Table 8 Airbus'!$A15,Airbus!L:L)</f>
        <v>72.504064287717043</v>
      </c>
      <c r="N15" s="284">
        <f>SUMIF(Airbus!$A:$A,'Price Table 8 Airbus'!$A15,Airbus!M:M)</f>
        <v>74.315394785788513</v>
      </c>
      <c r="O15" s="284">
        <f>SUMIF(Airbus!$A:$A,'Price Table 8 Airbus'!$A15,Airbus!N:N)</f>
        <v>67.398177835477853</v>
      </c>
      <c r="P15" s="284">
        <f>SUMIF(Airbus!$A:$A,'Price Table 8 Airbus'!$A15,Airbus!O:O)</f>
        <v>33.177536956342465</v>
      </c>
      <c r="Q15" s="284">
        <f>SUMIF(Airbus!$A:$A,'Price Table 8 Airbus'!$A15,Airbus!P:P)</f>
        <v>21.261683385915266</v>
      </c>
      <c r="R15" s="284">
        <f>SUMIF(Airbus!$A:$A,'Price Table 8 Airbus'!$A15,Airbus!Q:Q)</f>
        <v>21.792371444122171</v>
      </c>
      <c r="S15" s="284">
        <f>SUMIF(Airbus!$A:$A,'Price Table 8 Airbus'!$A15,Airbus!R:R)</f>
        <v>21.792371444122171</v>
      </c>
      <c r="T15" s="284">
        <f>SUMIF(Airbus!$A:$A,'Price Table 8 Airbus'!$A15,Airbus!S:S)</f>
        <v>0</v>
      </c>
      <c r="U15" s="284">
        <f>SUMIF(Airbus!$A:$A,'Price Table 8 Airbus'!$A15,Airbus!T:T)</f>
        <v>0</v>
      </c>
      <c r="V15" s="284">
        <f>SUMIF(Airbus!$A:$A,'Price Table 8 Airbus'!$A15,Airbus!U:U)</f>
        <v>0</v>
      </c>
      <c r="W15" s="284">
        <f>SUMIF(Airbus!$A:$A,'Price Table 8 Airbus'!$A15,Airbus!V:V)</f>
        <v>0</v>
      </c>
      <c r="X15" s="284">
        <f>SUMIF(Airbus!$A:$A,'Price Table 8 Airbus'!$A15,Airbus!W:W)</f>
        <v>0</v>
      </c>
      <c r="Y15" s="284">
        <f>SUMIF(Airbus!$A:$A,'Price Table 8 Airbus'!$A15,Airbus!X:X)</f>
        <v>0</v>
      </c>
      <c r="Z15" s="28"/>
      <c r="AA15" s="28"/>
      <c r="AB15" s="28"/>
      <c r="AC15" s="28"/>
      <c r="AD15" s="28"/>
      <c r="AE15" s="28"/>
      <c r="AF15" s="28"/>
      <c r="AG15" s="28"/>
      <c r="AH15" s="115">
        <f t="shared" ref="AH15:AH78" si="0">SUM(J15:AG15)</f>
        <v>337.17520000000002</v>
      </c>
      <c r="AI15" s="115">
        <f>SUMIF(Airbus!$A:$A,'Price Table 8 Airbus'!$A15,Airbus!V:V)</f>
        <v>0</v>
      </c>
    </row>
    <row r="16" spans="1:35" s="17" customFormat="1">
      <c r="A16" s="17" t="s">
        <v>62</v>
      </c>
      <c r="B16" s="184" t="s">
        <v>560</v>
      </c>
      <c r="C16" s="185"/>
      <c r="D16" s="186"/>
      <c r="E16" s="112" t="s">
        <v>14</v>
      </c>
      <c r="F16" s="112" t="s">
        <v>13</v>
      </c>
      <c r="G16" s="36" t="str">
        <f>CONCATENATE(E16,F16)</f>
        <v>MISSIONManpower</v>
      </c>
      <c r="H16" s="94" t="s">
        <v>561</v>
      </c>
      <c r="J16" s="58"/>
      <c r="K16" s="58"/>
      <c r="L16" s="284">
        <f>SUMIF(Airbus!$A:$A,'Price Table 8 Airbus'!$A16,Airbus!K:K)</f>
        <v>0</v>
      </c>
      <c r="M16" s="284">
        <f>SUMIF(Airbus!$A:$A,'Price Table 8 Airbus'!$A16,Airbus!L:L)</f>
        <v>0</v>
      </c>
      <c r="N16" s="284">
        <f>SUMIF(Airbus!$A:$A,'Price Table 8 Airbus'!$A16,Airbus!M:M)</f>
        <v>0</v>
      </c>
      <c r="O16" s="284">
        <f>SUMIF(Airbus!$A:$A,'Price Table 8 Airbus'!$A16,Airbus!N:N)</f>
        <v>0</v>
      </c>
      <c r="P16" s="284">
        <f>SUMIF(Airbus!$A:$A,'Price Table 8 Airbus'!$A16,Airbus!O:O)</f>
        <v>0</v>
      </c>
      <c r="Q16" s="284">
        <f>SUMIF(Airbus!$A:$A,'Price Table 8 Airbus'!$A16,Airbus!P:P)</f>
        <v>0</v>
      </c>
      <c r="R16" s="284">
        <f>SUMIF(Airbus!$A:$A,'Price Table 8 Airbus'!$A16,Airbus!Q:Q)</f>
        <v>0</v>
      </c>
      <c r="S16" s="284">
        <f>SUMIF(Airbus!$A:$A,'Price Table 8 Airbus'!$A16,Airbus!R:R)</f>
        <v>0</v>
      </c>
      <c r="T16" s="284">
        <f>SUMIF(Airbus!$A:$A,'Price Table 8 Airbus'!$A16,Airbus!S:S)</f>
        <v>0</v>
      </c>
      <c r="U16" s="284">
        <f>SUMIF(Airbus!$A:$A,'Price Table 8 Airbus'!$A16,Airbus!T:T)</f>
        <v>0</v>
      </c>
      <c r="V16" s="284">
        <f>SUMIF(Airbus!$A:$A,'Price Table 8 Airbus'!$A16,Airbus!U:U)</f>
        <v>0</v>
      </c>
      <c r="W16" s="284">
        <f>SUMIF(Airbus!$A:$A,'Price Table 8 Airbus'!$A16,Airbus!V:V)</f>
        <v>0</v>
      </c>
      <c r="X16" s="284">
        <f>SUMIF(Airbus!$A:$A,'Price Table 8 Airbus'!$A16,Airbus!W:W)</f>
        <v>0</v>
      </c>
      <c r="Y16" s="284">
        <f>SUMIF(Airbus!$A:$A,'Price Table 8 Airbus'!$A16,Airbus!X:X)</f>
        <v>0</v>
      </c>
      <c r="Z16" s="58"/>
      <c r="AA16" s="58"/>
      <c r="AB16" s="58"/>
      <c r="AC16" s="58"/>
      <c r="AD16" s="58"/>
      <c r="AE16" s="58"/>
      <c r="AF16" s="58"/>
      <c r="AG16" s="58"/>
      <c r="AH16" s="118">
        <f t="shared" si="0"/>
        <v>0</v>
      </c>
      <c r="AI16" s="115">
        <f>SUMIF(Airbus!$A:$A,'Price Table 8 Airbus'!$A16,Airbus!V:V)</f>
        <v>0</v>
      </c>
    </row>
    <row r="17" spans="1:57" s="16" customFormat="1">
      <c r="B17" s="45"/>
      <c r="C17" s="55"/>
      <c r="D17" s="56" t="s">
        <v>562</v>
      </c>
      <c r="E17" s="57"/>
      <c r="F17" s="57"/>
      <c r="G17" s="57"/>
      <c r="H17" s="17"/>
    </row>
    <row r="18" spans="1:57">
      <c r="A18" t="s">
        <v>120</v>
      </c>
      <c r="B18" s="42" t="s">
        <v>563</v>
      </c>
      <c r="C18" s="43"/>
      <c r="D18" s="44"/>
      <c r="E18" s="36" t="s">
        <v>14</v>
      </c>
      <c r="F18" s="36" t="s">
        <v>13</v>
      </c>
      <c r="G18" s="36" t="str">
        <f>CONCATENATE(E18,F18)</f>
        <v>MISSIONManpower</v>
      </c>
      <c r="H18" s="60">
        <v>401000</v>
      </c>
      <c r="I18" s="65" t="s">
        <v>564</v>
      </c>
      <c r="J18" s="29">
        <v>0</v>
      </c>
      <c r="K18" s="29"/>
      <c r="L18" s="284">
        <f>SUMIF(Airbus!$A:$A,'Price Table 8 Airbus'!$A18,Airbus!K:K)</f>
        <v>0</v>
      </c>
      <c r="M18" s="284">
        <f>SUMIF(Airbus!$A:$A,'Price Table 8 Airbus'!$A18,Airbus!L:L)</f>
        <v>0</v>
      </c>
      <c r="N18" s="284">
        <f>SUMIF(Airbus!$A:$A,'Price Table 8 Airbus'!$A18,Airbus!M:M)</f>
        <v>0</v>
      </c>
      <c r="O18" s="284">
        <f>SUMIF(Airbus!$A:$A,'Price Table 8 Airbus'!$A18,Airbus!N:N)</f>
        <v>0</v>
      </c>
      <c r="P18" s="284">
        <f>SUMIF(Airbus!$A:$A,'Price Table 8 Airbus'!$A18,Airbus!O:O)</f>
        <v>0</v>
      </c>
      <c r="Q18" s="284">
        <f>SUMIF(Airbus!$A:$A,'Price Table 8 Airbus'!$A18,Airbus!P:P)</f>
        <v>0</v>
      </c>
      <c r="R18" s="284">
        <f>SUMIF(Airbus!$A:$A,'Price Table 8 Airbus'!$A18,Airbus!Q:Q)</f>
        <v>0</v>
      </c>
      <c r="S18" s="284">
        <f>SUMIF(Airbus!$A:$A,'Price Table 8 Airbus'!$A18,Airbus!R:R)</f>
        <v>0</v>
      </c>
      <c r="T18" s="284">
        <f>SUMIF(Airbus!$A:$A,'Price Table 8 Airbus'!$A18,Airbus!S:S)</f>
        <v>0</v>
      </c>
      <c r="U18" s="284">
        <f>SUMIF(Airbus!$A:$A,'Price Table 8 Airbus'!$A18,Airbus!T:T)</f>
        <v>0</v>
      </c>
      <c r="V18" s="284">
        <f>SUMIF(Airbus!$A:$A,'Price Table 8 Airbus'!$A18,Airbus!U:U)</f>
        <v>0</v>
      </c>
      <c r="W18" s="284">
        <f>SUMIF(Airbus!$A:$A,'Price Table 8 Airbus'!$A18,Airbus!V:V)</f>
        <v>0</v>
      </c>
      <c r="X18" s="284">
        <f>SUMIF(Airbus!$A:$A,'Price Table 8 Airbus'!$A18,Airbus!W:W)</f>
        <v>0</v>
      </c>
      <c r="Y18" s="284">
        <f>SUMIF(Airbus!$A:$A,'Price Table 8 Airbus'!$A18,Airbus!X:X)</f>
        <v>0</v>
      </c>
      <c r="Z18" s="29"/>
      <c r="AA18" s="29"/>
      <c r="AB18" s="29"/>
      <c r="AC18" s="29"/>
      <c r="AD18" s="29"/>
      <c r="AE18" s="29"/>
      <c r="AF18" s="29"/>
      <c r="AG18" s="29"/>
      <c r="AH18" s="115">
        <f t="shared" si="0"/>
        <v>0</v>
      </c>
      <c r="AI18" s="115">
        <f>SUMIF(Airbus!$A:$A,'Price Table 8 Airbus'!$A18,Airbus!V:V)</f>
        <v>0</v>
      </c>
    </row>
    <row r="19" spans="1:57" s="17" customFormat="1">
      <c r="A19" s="17" t="s">
        <v>351</v>
      </c>
      <c r="B19" s="184" t="s">
        <v>565</v>
      </c>
      <c r="C19" s="185"/>
      <c r="D19" s="186"/>
      <c r="E19" s="112" t="s">
        <v>14</v>
      </c>
      <c r="F19" s="112" t="s">
        <v>13</v>
      </c>
      <c r="G19" s="36" t="str">
        <f>CONCATENATE(E19,F19)</f>
        <v>MISSIONManpower</v>
      </c>
      <c r="H19" s="94" t="s">
        <v>638</v>
      </c>
      <c r="I19" s="17" t="s">
        <v>567</v>
      </c>
      <c r="J19" s="31"/>
      <c r="K19" s="31"/>
      <c r="L19" s="284">
        <f>SUMIF(Airbus!$A:$A,'Price Table 8 Airbus'!$A19,Airbus!K:K)</f>
        <v>0</v>
      </c>
      <c r="M19" s="284">
        <f>SUMIF(Airbus!$A:$A,'Price Table 8 Airbus'!$A19,Airbus!L:L)</f>
        <v>0</v>
      </c>
      <c r="N19" s="284">
        <f>SUMIF(Airbus!$A:$A,'Price Table 8 Airbus'!$A19,Airbus!M:M)</f>
        <v>0</v>
      </c>
      <c r="O19" s="284">
        <f>SUMIF(Airbus!$A:$A,'Price Table 8 Airbus'!$A19,Airbus!N:N)</f>
        <v>0</v>
      </c>
      <c r="P19" s="284">
        <f>SUMIF(Airbus!$A:$A,'Price Table 8 Airbus'!$A19,Airbus!O:O)</f>
        <v>0</v>
      </c>
      <c r="Q19" s="284">
        <f>SUMIF(Airbus!$A:$A,'Price Table 8 Airbus'!$A19,Airbus!P:P)</f>
        <v>0</v>
      </c>
      <c r="R19" s="284">
        <f>SUMIF(Airbus!$A:$A,'Price Table 8 Airbus'!$A19,Airbus!Q:Q)</f>
        <v>0</v>
      </c>
      <c r="S19" s="284">
        <f>SUMIF(Airbus!$A:$A,'Price Table 8 Airbus'!$A19,Airbus!R:R)</f>
        <v>0</v>
      </c>
      <c r="T19" s="284">
        <f>SUMIF(Airbus!$A:$A,'Price Table 8 Airbus'!$A19,Airbus!S:S)</f>
        <v>0</v>
      </c>
      <c r="U19" s="284">
        <f>SUMIF(Airbus!$A:$A,'Price Table 8 Airbus'!$A19,Airbus!T:T)</f>
        <v>0</v>
      </c>
      <c r="V19" s="284">
        <f>SUMIF(Airbus!$A:$A,'Price Table 8 Airbus'!$A19,Airbus!U:U)</f>
        <v>0</v>
      </c>
      <c r="W19" s="284">
        <f>SUMIF(Airbus!$A:$A,'Price Table 8 Airbus'!$A19,Airbus!V:V)</f>
        <v>0</v>
      </c>
      <c r="X19" s="284">
        <f>SUMIF(Airbus!$A:$A,'Price Table 8 Airbus'!$A19,Airbus!W:W)</f>
        <v>0</v>
      </c>
      <c r="Y19" s="284">
        <f>SUMIF(Airbus!$A:$A,'Price Table 8 Airbus'!$A19,Airbus!X:X)</f>
        <v>0</v>
      </c>
      <c r="Z19" s="31"/>
      <c r="AA19" s="31"/>
      <c r="AB19" s="31"/>
      <c r="AC19" s="31"/>
      <c r="AD19" s="31"/>
      <c r="AE19" s="31"/>
      <c r="AF19" s="31"/>
      <c r="AG19" s="31"/>
      <c r="AH19" s="118">
        <f t="shared" si="0"/>
        <v>0</v>
      </c>
      <c r="AI19" s="115">
        <f>SUMIF(Airbus!$A:$A,'Price Table 8 Airbus'!$A19,Airbus!V:V)</f>
        <v>0</v>
      </c>
    </row>
    <row r="20" spans="1:57">
      <c r="A20" t="s">
        <v>356</v>
      </c>
      <c r="B20" s="42" t="s">
        <v>568</v>
      </c>
      <c r="C20" s="43"/>
      <c r="D20" s="44"/>
      <c r="E20" s="36" t="s">
        <v>14</v>
      </c>
      <c r="F20" s="36" t="s">
        <v>117</v>
      </c>
      <c r="G20" s="36" t="str">
        <f>CONCATENATE(E20,F20)</f>
        <v>MISSIONProcurement</v>
      </c>
      <c r="H20" s="60">
        <v>510000</v>
      </c>
      <c r="I20" t="s">
        <v>569</v>
      </c>
      <c r="J20" s="28">
        <v>0</v>
      </c>
      <c r="K20" s="28"/>
      <c r="L20" s="284">
        <f>SUMIF(Airbus!$A:$A,'Price Table 8 Airbus'!$A20,Airbus!K:K)</f>
        <v>0</v>
      </c>
      <c r="M20" s="284">
        <f>SUMIF(Airbus!$A:$A,'Price Table 8 Airbus'!$A20,Airbus!L:L)</f>
        <v>0</v>
      </c>
      <c r="N20" s="284">
        <f>SUMIF(Airbus!$A:$A,'Price Table 8 Airbus'!$A20,Airbus!M:M)</f>
        <v>0</v>
      </c>
      <c r="O20" s="284">
        <f>SUMIF(Airbus!$A:$A,'Price Table 8 Airbus'!$A20,Airbus!N:N)</f>
        <v>0</v>
      </c>
      <c r="P20" s="284">
        <f>SUMIF(Airbus!$A:$A,'Price Table 8 Airbus'!$A20,Airbus!O:O)</f>
        <v>0</v>
      </c>
      <c r="Q20" s="284">
        <f>SUMIF(Airbus!$A:$A,'Price Table 8 Airbus'!$A20,Airbus!P:P)</f>
        <v>0</v>
      </c>
      <c r="R20" s="284">
        <f>SUMIF(Airbus!$A:$A,'Price Table 8 Airbus'!$A20,Airbus!Q:Q)</f>
        <v>0</v>
      </c>
      <c r="S20" s="284">
        <f>SUMIF(Airbus!$A:$A,'Price Table 8 Airbus'!$A20,Airbus!R:R)</f>
        <v>0</v>
      </c>
      <c r="T20" s="284">
        <f>SUMIF(Airbus!$A:$A,'Price Table 8 Airbus'!$A20,Airbus!S:S)</f>
        <v>0</v>
      </c>
      <c r="U20" s="284">
        <f>SUMIF(Airbus!$A:$A,'Price Table 8 Airbus'!$A20,Airbus!T:T)</f>
        <v>0</v>
      </c>
      <c r="V20" s="284">
        <f>SUMIF(Airbus!$A:$A,'Price Table 8 Airbus'!$A20,Airbus!U:U)</f>
        <v>0</v>
      </c>
      <c r="W20" s="284">
        <f>SUMIF(Airbus!$A:$A,'Price Table 8 Airbus'!$A20,Airbus!V:V)</f>
        <v>0</v>
      </c>
      <c r="X20" s="284">
        <f>SUMIF(Airbus!$A:$A,'Price Table 8 Airbus'!$A20,Airbus!W:W)</f>
        <v>0</v>
      </c>
      <c r="Y20" s="284">
        <f>SUMIF(Airbus!$A:$A,'Price Table 8 Airbus'!$A20,Airbus!X:X)</f>
        <v>0</v>
      </c>
      <c r="Z20" s="28"/>
      <c r="AA20" s="28"/>
      <c r="AB20" s="28"/>
      <c r="AC20" s="28"/>
      <c r="AD20" s="28"/>
      <c r="AE20" s="28"/>
      <c r="AF20" s="28"/>
      <c r="AG20" s="28"/>
      <c r="AH20" s="115">
        <f t="shared" si="0"/>
        <v>0</v>
      </c>
      <c r="AI20" s="115">
        <f>SUMIF(Airbus!$A:$A,'Price Table 8 Airbus'!$A20,Airbus!V:V)</f>
        <v>0</v>
      </c>
    </row>
    <row r="21" spans="1:57" s="16" customFormat="1">
      <c r="B21" s="45"/>
      <c r="C21" s="55"/>
      <c r="D21" s="56" t="s">
        <v>562</v>
      </c>
      <c r="E21" s="57"/>
      <c r="F21" s="57"/>
      <c r="G21" s="57"/>
      <c r="H21" s="17"/>
    </row>
    <row r="22" spans="1:57">
      <c r="B22" s="46" t="s">
        <v>570</v>
      </c>
      <c r="C22" s="47"/>
      <c r="D22" s="41"/>
      <c r="H22"/>
    </row>
    <row r="23" spans="1:57">
      <c r="B23" s="48" t="s">
        <v>571</v>
      </c>
      <c r="C23" s="49"/>
      <c r="D23" s="50"/>
      <c r="H23"/>
    </row>
    <row r="24" spans="1:57">
      <c r="A24" t="s">
        <v>160</v>
      </c>
      <c r="B24" s="51" t="s">
        <v>572</v>
      </c>
      <c r="C24" s="43"/>
      <c r="D24" s="44"/>
      <c r="E24" s="36" t="s">
        <v>139</v>
      </c>
      <c r="F24" s="36" t="s">
        <v>13</v>
      </c>
      <c r="G24" s="36" t="str">
        <f>CONCATENATE(E24,F24)</f>
        <v>TECHManpower</v>
      </c>
      <c r="H24" s="16">
        <v>410000</v>
      </c>
      <c r="J24" s="28"/>
      <c r="K24" s="28"/>
      <c r="L24" s="284">
        <f>SUMIF(Airbus!$A:$A,'Price Table 8 Airbus'!$A24,Airbus!K:K)</f>
        <v>0</v>
      </c>
      <c r="M24" s="284">
        <f>SUMIF(Airbus!$A:$A,'Price Table 8 Airbus'!$A24,Airbus!L:L)</f>
        <v>0</v>
      </c>
      <c r="N24" s="284">
        <f>SUMIF(Airbus!$A:$A,'Price Table 8 Airbus'!$A24,Airbus!M:M)</f>
        <v>0</v>
      </c>
      <c r="O24" s="284">
        <f>SUMIF(Airbus!$A:$A,'Price Table 8 Airbus'!$A24,Airbus!N:N)</f>
        <v>0</v>
      </c>
      <c r="P24" s="284">
        <f>SUMIF(Airbus!$A:$A,'Price Table 8 Airbus'!$A24,Airbus!O:O)</f>
        <v>0</v>
      </c>
      <c r="Q24" s="284">
        <f>SUMIF(Airbus!$A:$A,'Price Table 8 Airbus'!$A24,Airbus!P:P)</f>
        <v>0</v>
      </c>
      <c r="R24" s="284">
        <f>SUMIF(Airbus!$A:$A,'Price Table 8 Airbus'!$A24,Airbus!Q:Q)</f>
        <v>0</v>
      </c>
      <c r="S24" s="284">
        <f>SUMIF(Airbus!$A:$A,'Price Table 8 Airbus'!$A24,Airbus!R:R)</f>
        <v>0</v>
      </c>
      <c r="T24" s="284">
        <f>SUMIF(Airbus!$A:$A,'Price Table 8 Airbus'!$A24,Airbus!S:S)</f>
        <v>0</v>
      </c>
      <c r="U24" s="284">
        <f>SUMIF(Airbus!$A:$A,'Price Table 8 Airbus'!$A24,Airbus!T:T)</f>
        <v>0</v>
      </c>
      <c r="V24" s="284">
        <f>SUMIF(Airbus!$A:$A,'Price Table 8 Airbus'!$A24,Airbus!U:U)</f>
        <v>0</v>
      </c>
      <c r="W24" s="284">
        <f>SUMIF(Airbus!$A:$A,'Price Table 8 Airbus'!$A24,Airbus!V:V)</f>
        <v>0</v>
      </c>
      <c r="X24" s="284">
        <f>SUMIF(Airbus!$A:$A,'Price Table 8 Airbus'!$A24,Airbus!W:W)</f>
        <v>0</v>
      </c>
      <c r="Y24" s="284">
        <f>SUMIF(Airbus!$A:$A,'Price Table 8 Airbus'!$A24,Airbus!X:X)</f>
        <v>0</v>
      </c>
      <c r="Z24" s="28"/>
      <c r="AA24" s="28"/>
      <c r="AB24" s="28"/>
      <c r="AC24" s="28"/>
      <c r="AD24" s="28"/>
      <c r="AE24" s="28"/>
      <c r="AF24" s="28"/>
      <c r="AG24" s="28"/>
      <c r="AH24" s="115">
        <f t="shared" si="0"/>
        <v>0</v>
      </c>
      <c r="AI24" s="115">
        <f>SUMIF(Airbus!$A:$A,'Price Table 8 Airbus'!$A24,Airbus!V:V)</f>
        <v>0</v>
      </c>
    </row>
    <row r="25" spans="1:57">
      <c r="A25" t="s">
        <v>573</v>
      </c>
      <c r="B25" s="51" t="s">
        <v>574</v>
      </c>
      <c r="C25" s="43"/>
      <c r="D25" s="44"/>
      <c r="E25" s="36" t="s">
        <v>14</v>
      </c>
      <c r="F25" s="36" t="s">
        <v>13</v>
      </c>
      <c r="G25" s="36" t="str">
        <f>CONCATENATE(E25,F25)</f>
        <v>MISSIONManpower</v>
      </c>
      <c r="H25" s="70" t="s">
        <v>639</v>
      </c>
      <c r="J25" s="28"/>
      <c r="K25" s="28"/>
      <c r="L25" s="284">
        <f>SUMIF(Airbus!$A:$A,'Price Table 8 Airbus'!$A25,Airbus!K:K)</f>
        <v>0</v>
      </c>
      <c r="M25" s="284">
        <f>SUMIF(Airbus!$A:$A,'Price Table 8 Airbus'!$A25,Airbus!L:L)</f>
        <v>0</v>
      </c>
      <c r="N25" s="284">
        <f>SUMIF(Airbus!$A:$A,'Price Table 8 Airbus'!$A25,Airbus!M:M)</f>
        <v>0</v>
      </c>
      <c r="O25" s="284">
        <f>SUMIF(Airbus!$A:$A,'Price Table 8 Airbus'!$A25,Airbus!N:N)</f>
        <v>0</v>
      </c>
      <c r="P25" s="284">
        <f>SUMIF(Airbus!$A:$A,'Price Table 8 Airbus'!$A25,Airbus!O:O)</f>
        <v>0</v>
      </c>
      <c r="Q25" s="284">
        <f>SUMIF(Airbus!$A:$A,'Price Table 8 Airbus'!$A25,Airbus!P:P)</f>
        <v>0</v>
      </c>
      <c r="R25" s="284">
        <f>SUMIF(Airbus!$A:$A,'Price Table 8 Airbus'!$A25,Airbus!Q:Q)</f>
        <v>0</v>
      </c>
      <c r="S25" s="284">
        <f>SUMIF(Airbus!$A:$A,'Price Table 8 Airbus'!$A25,Airbus!R:R)</f>
        <v>0</v>
      </c>
      <c r="T25" s="284">
        <f>SUMIF(Airbus!$A:$A,'Price Table 8 Airbus'!$A25,Airbus!S:S)</f>
        <v>0</v>
      </c>
      <c r="U25" s="284">
        <f>SUMIF(Airbus!$A:$A,'Price Table 8 Airbus'!$A25,Airbus!T:T)</f>
        <v>0</v>
      </c>
      <c r="V25" s="284">
        <f>SUMIF(Airbus!$A:$A,'Price Table 8 Airbus'!$A25,Airbus!U:U)</f>
        <v>0</v>
      </c>
      <c r="W25" s="284">
        <f>SUMIF(Airbus!$A:$A,'Price Table 8 Airbus'!$A25,Airbus!V:V)</f>
        <v>0</v>
      </c>
      <c r="X25" s="284">
        <f>SUMIF(Airbus!$A:$A,'Price Table 8 Airbus'!$A25,Airbus!W:W)</f>
        <v>0</v>
      </c>
      <c r="Y25" s="284">
        <f>SUMIF(Airbus!$A:$A,'Price Table 8 Airbus'!$A25,Airbus!X:X)</f>
        <v>0</v>
      </c>
      <c r="Z25" s="28"/>
      <c r="AA25" s="28"/>
      <c r="AB25" s="28"/>
      <c r="AC25" s="28"/>
      <c r="AD25" s="28"/>
      <c r="AE25" s="28"/>
      <c r="AF25" s="28"/>
      <c r="AG25" s="28"/>
      <c r="AH25" s="115">
        <f t="shared" si="0"/>
        <v>0</v>
      </c>
      <c r="AI25" s="115">
        <f>SUMIF(Airbus!$A:$A,'Price Table 8 Airbus'!$A25,Airbus!V:V)</f>
        <v>0</v>
      </c>
    </row>
    <row r="26" spans="1:57" s="16" customFormat="1">
      <c r="B26" s="45"/>
      <c r="C26" s="55"/>
      <c r="D26" s="56" t="s">
        <v>562</v>
      </c>
      <c r="E26" s="57"/>
      <c r="F26" s="57"/>
      <c r="G26" s="57"/>
      <c r="H26" s="17"/>
    </row>
    <row r="27" spans="1:57" s="17" customFormat="1">
      <c r="B27" s="515" t="s">
        <v>640</v>
      </c>
      <c r="C27" s="523" t="s">
        <v>641</v>
      </c>
      <c r="D27" s="517"/>
      <c r="E27" s="112"/>
      <c r="F27" s="112"/>
      <c r="G27" s="112"/>
    </row>
    <row r="28" spans="1:57" s="17" customFormat="1">
      <c r="A28" s="17" t="s">
        <v>180</v>
      </c>
      <c r="B28" s="187" t="s">
        <v>576</v>
      </c>
      <c r="C28" s="188"/>
      <c r="D28" s="186"/>
      <c r="E28" s="189" t="s">
        <v>14</v>
      </c>
      <c r="F28" s="192" t="s">
        <v>13</v>
      </c>
      <c r="G28" s="112" t="str">
        <f>CONCATENATE(E28,F28)</f>
        <v>MISSIONManpower</v>
      </c>
      <c r="H28" s="193">
        <v>430000</v>
      </c>
      <c r="I28" s="191" t="s">
        <v>577</v>
      </c>
      <c r="J28" s="31"/>
      <c r="K28" s="31"/>
      <c r="L28" s="531">
        <f>SUMIF(Airbus!$A:$A,'Price Table 8 Airbus'!$A28,Airbus!K:K)</f>
        <v>143.65023306717796</v>
      </c>
      <c r="M28" s="531">
        <f>SUMIF(Airbus!$A:$A,'Price Table 8 Airbus'!$A28,Airbus!L:L)</f>
        <v>469.14471977179142</v>
      </c>
      <c r="N28" s="531">
        <f>SUMIF(Airbus!$A:$A,'Price Table 8 Airbus'!$A28,Airbus!M:M)</f>
        <v>544.25420623495097</v>
      </c>
      <c r="O28" s="531">
        <f>SUMIF(Airbus!$A:$A,'Price Table 8 Airbus'!$A28,Airbus!N:N)</f>
        <v>126.62021790529388</v>
      </c>
      <c r="P28" s="531">
        <f>SUMIF(Airbus!$A:$A,'Price Table 8 Airbus'!$A28,Airbus!O:O)</f>
        <v>899.89421284258174</v>
      </c>
      <c r="Q28" s="531">
        <f>SUMIF(Airbus!$A:$A,'Price Table 8 Airbus'!$A28,Airbus!P:P)</f>
        <v>589.76770298785937</v>
      </c>
      <c r="R28" s="531">
        <f>SUMIF(Airbus!$A:$A,'Price Table 8 Airbus'!$A28,Airbus!Q:Q)</f>
        <v>627.82584884834318</v>
      </c>
      <c r="S28" s="531">
        <f>SUMIF(Airbus!$A:$A,'Price Table 8 Airbus'!$A28,Airbus!R:R)</f>
        <v>380.91133834200195</v>
      </c>
      <c r="T28" s="531">
        <f>SUMIF(Airbus!$A:$A,'Price Table 8 Airbus'!$A28,Airbus!S:S)</f>
        <v>0</v>
      </c>
      <c r="U28" s="531">
        <f>SUMIF(Airbus!$A:$A,'Price Table 8 Airbus'!$A28,Airbus!T:T)</f>
        <v>0</v>
      </c>
      <c r="V28" s="531">
        <f>SUMIF(Airbus!$A:$A,'Price Table 8 Airbus'!$A28,Airbus!U:U)</f>
        <v>0</v>
      </c>
      <c r="W28" s="531">
        <f>SUMIF(Airbus!$A:$A,'Price Table 8 Airbus'!$A28,Airbus!V:V)</f>
        <v>0</v>
      </c>
      <c r="X28" s="531">
        <f>SUMIF(Airbus!$A:$A,'Price Table 8 Airbus'!$A28,Airbus!W:W)</f>
        <v>0</v>
      </c>
      <c r="Y28" s="531">
        <f>SUMIF(Airbus!$A:$A,'Price Table 8 Airbus'!$A28,Airbus!X:X)</f>
        <v>0</v>
      </c>
      <c r="Z28" s="31"/>
      <c r="AA28" s="31"/>
      <c r="AB28" s="31"/>
      <c r="AC28" s="31"/>
      <c r="AD28" s="31"/>
      <c r="AE28" s="31"/>
      <c r="AF28" s="31"/>
      <c r="AG28" s="31"/>
      <c r="AH28" s="118">
        <f t="shared" si="0"/>
        <v>3782.0684800000008</v>
      </c>
      <c r="AI28" s="118">
        <f>SUMIF(Airbus!$A:$A,'Price Table 8 Airbus'!$A28,Airbus!V:V)</f>
        <v>0</v>
      </c>
    </row>
    <row r="29" spans="1:57" s="17" customFormat="1">
      <c r="A29" s="17" t="s">
        <v>578</v>
      </c>
      <c r="B29" s="187" t="s">
        <v>579</v>
      </c>
      <c r="C29" s="188"/>
      <c r="D29" s="186"/>
      <c r="E29" s="189" t="s">
        <v>14</v>
      </c>
      <c r="F29" s="192" t="s">
        <v>117</v>
      </c>
      <c r="G29" s="112" t="str">
        <f>CONCATENATE(E29,F29)</f>
        <v>MISSIONProcurement</v>
      </c>
      <c r="H29" s="107">
        <v>430000</v>
      </c>
      <c r="I29" s="191" t="s">
        <v>577</v>
      </c>
      <c r="J29" s="31"/>
      <c r="K29" s="31"/>
      <c r="L29" s="531">
        <f>SUMIF(Airbus!$A:$A,'Price Table 8 Airbus'!$A29,Airbus!K:K)</f>
        <v>136.161</v>
      </c>
      <c r="M29" s="531">
        <f>SUMIF(Airbus!$A:$A,'Price Table 8 Airbus'!$A29,Airbus!L:L)</f>
        <v>1093.8179284133848</v>
      </c>
      <c r="N29" s="531">
        <f>SUMIF(Airbus!$A:$A,'Price Table 8 Airbus'!$A29,Airbus!M:M)</f>
        <v>328.87288687862059</v>
      </c>
      <c r="O29" s="531">
        <f>SUMIF(Airbus!$A:$A,'Price Table 8 Airbus'!$A29,Airbus!N:N)</f>
        <v>929.73592841338495</v>
      </c>
      <c r="P29" s="531">
        <f>SUMIF(Airbus!$A:$A,'Price Table 8 Airbus'!$A29,Airbus!O:O)</f>
        <v>136.161</v>
      </c>
      <c r="Q29" s="531">
        <f>SUMIF(Airbus!$A:$A,'Price Table 8 Airbus'!$A29,Airbus!P:P)</f>
        <v>195.19962814730479</v>
      </c>
      <c r="R29" s="531">
        <f>SUMIF(Airbus!$A:$A,'Price Table 8 Airbus'!$A29,Airbus!Q:Q)</f>
        <v>0</v>
      </c>
      <c r="S29" s="531">
        <f>SUMIF(Airbus!$A:$A,'Price Table 8 Airbus'!$A29,Airbus!R:R)</f>
        <v>2.3156281473048126</v>
      </c>
      <c r="T29" s="531">
        <f>SUMIF(Airbus!$A:$A,'Price Table 8 Airbus'!$A29,Airbus!S:S)</f>
        <v>0</v>
      </c>
      <c r="U29" s="531">
        <f>SUMIF(Airbus!$A:$A,'Price Table 8 Airbus'!$A29,Airbus!T:T)</f>
        <v>0</v>
      </c>
      <c r="V29" s="531">
        <f>SUMIF(Airbus!$A:$A,'Price Table 8 Airbus'!$A29,Airbus!U:U)</f>
        <v>0</v>
      </c>
      <c r="W29" s="531">
        <f>SUMIF(Airbus!$A:$A,'Price Table 8 Airbus'!$A29,Airbus!V:V)</f>
        <v>0</v>
      </c>
      <c r="X29" s="531">
        <f>SUMIF(Airbus!$A:$A,'Price Table 8 Airbus'!$A29,Airbus!W:W)</f>
        <v>0</v>
      </c>
      <c r="Y29" s="531">
        <f>SUMIF(Airbus!$A:$A,'Price Table 8 Airbus'!$A29,Airbus!X:X)</f>
        <v>0</v>
      </c>
      <c r="Z29" s="31"/>
      <c r="AA29" s="31"/>
      <c r="AB29" s="31"/>
      <c r="AC29" s="31"/>
      <c r="AD29" s="31"/>
      <c r="AE29" s="31"/>
      <c r="AF29" s="31"/>
      <c r="AG29" s="31"/>
      <c r="AH29" s="118">
        <f t="shared" si="0"/>
        <v>2822.2640000000001</v>
      </c>
      <c r="AI29" s="118">
        <f>SUMIF(Airbus!$A:$A,'Price Table 8 Airbus'!$A29,Airbus!V:V)</f>
        <v>0</v>
      </c>
    </row>
    <row r="30" spans="1:57" s="94" customFormat="1">
      <c r="B30" s="519"/>
      <c r="C30" s="520"/>
      <c r="D30" s="521" t="s">
        <v>562</v>
      </c>
      <c r="E30" s="522"/>
      <c r="F30" s="522"/>
      <c r="G30" s="522"/>
      <c r="H30" s="17"/>
    </row>
    <row r="31" spans="1:57" s="17" customFormat="1">
      <c r="B31" s="515" t="s">
        <v>580</v>
      </c>
      <c r="C31" s="516"/>
      <c r="D31" s="517"/>
      <c r="E31" s="189"/>
      <c r="F31" s="189"/>
      <c r="G31" s="189"/>
      <c r="H31" s="532"/>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row>
    <row r="32" spans="1:57" s="17" customFormat="1">
      <c r="A32" s="17" t="s">
        <v>173</v>
      </c>
      <c r="B32" s="187" t="s">
        <v>581</v>
      </c>
      <c r="C32" s="188"/>
      <c r="D32" s="186"/>
      <c r="E32" s="189" t="s">
        <v>14</v>
      </c>
      <c r="F32" s="112" t="s">
        <v>13</v>
      </c>
      <c r="G32" s="112" t="str">
        <f>CONCATENATE(E32,F32)</f>
        <v>MISSIONManpower</v>
      </c>
      <c r="H32" s="190">
        <v>420000</v>
      </c>
      <c r="I32" s="191" t="s">
        <v>577</v>
      </c>
      <c r="J32" s="31"/>
      <c r="K32" s="31"/>
      <c r="L32" s="531">
        <f>SUMIF(Airbus!$A:$A,'Price Table 8 Airbus'!$A32,Airbus!K:K)</f>
        <v>0</v>
      </c>
      <c r="M32" s="531">
        <f>SUMIF(Airbus!$A:$A,'Price Table 8 Airbus'!$A32,Airbus!L:L)</f>
        <v>0</v>
      </c>
      <c r="N32" s="531">
        <f>SUMIF(Airbus!$A:$A,'Price Table 8 Airbus'!$A32,Airbus!M:M)</f>
        <v>0</v>
      </c>
      <c r="O32" s="531">
        <f>SUMIF(Airbus!$A:$A,'Price Table 8 Airbus'!$A32,Airbus!N:N)</f>
        <v>0</v>
      </c>
      <c r="P32" s="531">
        <f>SUMIF(Airbus!$A:$A,'Price Table 8 Airbus'!$A32,Airbus!O:O)</f>
        <v>0</v>
      </c>
      <c r="Q32" s="531">
        <f>SUMIF(Airbus!$A:$A,'Price Table 8 Airbus'!$A32,Airbus!P:P)</f>
        <v>0</v>
      </c>
      <c r="R32" s="531">
        <f>SUMIF(Airbus!$A:$A,'Price Table 8 Airbus'!$A32,Airbus!Q:Q)</f>
        <v>0</v>
      </c>
      <c r="S32" s="531">
        <f>SUMIF(Airbus!$A:$A,'Price Table 8 Airbus'!$A32,Airbus!R:R)</f>
        <v>0</v>
      </c>
      <c r="T32" s="531">
        <f>SUMIF(Airbus!$A:$A,'Price Table 8 Airbus'!$A32,Airbus!S:S)</f>
        <v>0</v>
      </c>
      <c r="U32" s="531">
        <f>SUMIF(Airbus!$A:$A,'Price Table 8 Airbus'!$A32,Airbus!T:T)</f>
        <v>0</v>
      </c>
      <c r="V32" s="531">
        <f>SUMIF(Airbus!$A:$A,'Price Table 8 Airbus'!$A32,Airbus!U:U)</f>
        <v>0</v>
      </c>
      <c r="W32" s="531">
        <f>SUMIF(Airbus!$A:$A,'Price Table 8 Airbus'!$A32,Airbus!V:V)</f>
        <v>0</v>
      </c>
      <c r="X32" s="531">
        <f>SUMIF(Airbus!$A:$A,'Price Table 8 Airbus'!$A32,Airbus!W:W)</f>
        <v>0</v>
      </c>
      <c r="Y32" s="531">
        <f>SUMIF(Airbus!$A:$A,'Price Table 8 Airbus'!$A32,Airbus!X:X)</f>
        <v>0</v>
      </c>
      <c r="Z32" s="31"/>
      <c r="AA32" s="31"/>
      <c r="AB32" s="31"/>
      <c r="AC32" s="31"/>
      <c r="AD32" s="31"/>
      <c r="AE32" s="31"/>
      <c r="AF32" s="31"/>
      <c r="AG32" s="31"/>
      <c r="AH32" s="118">
        <f t="shared" si="0"/>
        <v>0</v>
      </c>
      <c r="AI32" s="118">
        <f>SUMIF(Airbus!$A:$A,'Price Table 8 Airbus'!$A32,Airbus!V:V)</f>
        <v>0</v>
      </c>
    </row>
    <row r="33" spans="1:35" s="17" customFormat="1">
      <c r="A33" s="17" t="s">
        <v>582</v>
      </c>
      <c r="B33" s="187" t="s">
        <v>583</v>
      </c>
      <c r="C33" s="188"/>
      <c r="D33" s="186"/>
      <c r="E33" s="189" t="s">
        <v>14</v>
      </c>
      <c r="F33" s="112" t="s">
        <v>117</v>
      </c>
      <c r="G33" s="112" t="str">
        <f>CONCATENATE(E33,F33)</f>
        <v>MISSIONProcurement</v>
      </c>
      <c r="H33" s="190">
        <v>420000</v>
      </c>
      <c r="I33" s="191" t="s">
        <v>577</v>
      </c>
      <c r="J33" s="31"/>
      <c r="K33" s="31"/>
      <c r="L33" s="531">
        <f>SUMIF(Airbus!$A:$A,'Price Table 8 Airbus'!$A33,Airbus!K:K)</f>
        <v>0</v>
      </c>
      <c r="M33" s="531">
        <f>SUMIF(Airbus!$A:$A,'Price Table 8 Airbus'!$A33,Airbus!L:L)</f>
        <v>92.988</v>
      </c>
      <c r="N33" s="531">
        <f>SUMIF(Airbus!$A:$A,'Price Table 8 Airbus'!$A33,Airbus!M:M)</f>
        <v>92.988</v>
      </c>
      <c r="O33" s="531">
        <f>SUMIF(Airbus!$A:$A,'Price Table 8 Airbus'!$A33,Airbus!N:N)</f>
        <v>79.703999999999994</v>
      </c>
      <c r="P33" s="531">
        <f>SUMIF(Airbus!$A:$A,'Price Table 8 Airbus'!$A33,Airbus!O:O)</f>
        <v>106.27200000000001</v>
      </c>
      <c r="Q33" s="531">
        <f>SUMIF(Airbus!$A:$A,'Price Table 8 Airbus'!$A33,Airbus!P:P)</f>
        <v>0</v>
      </c>
      <c r="R33" s="531">
        <f>SUMIF(Airbus!$A:$A,'Price Table 8 Airbus'!$A33,Airbus!Q:Q)</f>
        <v>159.40799999999999</v>
      </c>
      <c r="S33" s="531">
        <f>SUMIF(Airbus!$A:$A,'Price Table 8 Airbus'!$A33,Airbus!R:R)</f>
        <v>0</v>
      </c>
      <c r="T33" s="531">
        <f>SUMIF(Airbus!$A:$A,'Price Table 8 Airbus'!$A33,Airbus!S:S)</f>
        <v>0</v>
      </c>
      <c r="U33" s="531">
        <f>SUMIF(Airbus!$A:$A,'Price Table 8 Airbus'!$A33,Airbus!T:T)</f>
        <v>0</v>
      </c>
      <c r="V33" s="531">
        <f>SUMIF(Airbus!$A:$A,'Price Table 8 Airbus'!$A33,Airbus!U:U)</f>
        <v>0</v>
      </c>
      <c r="W33" s="531">
        <f>SUMIF(Airbus!$A:$A,'Price Table 8 Airbus'!$A33,Airbus!V:V)</f>
        <v>0</v>
      </c>
      <c r="X33" s="531">
        <f>SUMIF(Airbus!$A:$A,'Price Table 8 Airbus'!$A33,Airbus!W:W)</f>
        <v>0</v>
      </c>
      <c r="Y33" s="531">
        <f>SUMIF(Airbus!$A:$A,'Price Table 8 Airbus'!$A33,Airbus!X:X)</f>
        <v>0</v>
      </c>
      <c r="Z33" s="31"/>
      <c r="AA33" s="31"/>
      <c r="AB33" s="31"/>
      <c r="AC33" s="31"/>
      <c r="AD33" s="31"/>
      <c r="AE33" s="31"/>
      <c r="AF33" s="31"/>
      <c r="AG33" s="31"/>
      <c r="AH33" s="118">
        <f t="shared" si="0"/>
        <v>531.36</v>
      </c>
      <c r="AI33" s="118">
        <f>SUMIF(Airbus!$A:$A,'Price Table 8 Airbus'!$A33,Airbus!V:V)</f>
        <v>0</v>
      </c>
    </row>
    <row r="34" spans="1:35" s="94" customFormat="1">
      <c r="B34" s="519"/>
      <c r="C34" s="520"/>
      <c r="D34" s="521" t="s">
        <v>562</v>
      </c>
      <c r="E34" s="522"/>
      <c r="F34" s="522"/>
      <c r="G34" s="522"/>
      <c r="H34" s="17"/>
    </row>
    <row r="35" spans="1:35" s="17" customFormat="1">
      <c r="B35" s="515" t="s">
        <v>584</v>
      </c>
      <c r="C35" s="516"/>
      <c r="D35" s="517"/>
      <c r="E35" s="112"/>
      <c r="F35" s="112"/>
      <c r="G35" s="112"/>
    </row>
    <row r="36" spans="1:35" s="17" customFormat="1">
      <c r="A36" s="17" t="s">
        <v>187</v>
      </c>
      <c r="B36" s="187" t="s">
        <v>585</v>
      </c>
      <c r="C36" s="188"/>
      <c r="D36" s="186"/>
      <c r="E36" s="189" t="s">
        <v>14</v>
      </c>
      <c r="F36" s="112" t="s">
        <v>13</v>
      </c>
      <c r="G36" s="112" t="str">
        <f>CONCATENATE(E36,F36)</f>
        <v>MISSIONManpower</v>
      </c>
      <c r="H36" s="190">
        <v>440000</v>
      </c>
      <c r="I36" s="17" t="s">
        <v>586</v>
      </c>
      <c r="J36" s="31"/>
      <c r="K36" s="31"/>
      <c r="L36" s="531">
        <f>SUMIF(Airbus!$A:$A,'Price Table 8 Airbus'!$A36,Airbus!K:K)</f>
        <v>0</v>
      </c>
      <c r="M36" s="531">
        <f>SUMIF(Airbus!$A:$A,'Price Table 8 Airbus'!$A36,Airbus!L:L)</f>
        <v>0</v>
      </c>
      <c r="N36" s="531">
        <f>SUMIF(Airbus!$A:$A,'Price Table 8 Airbus'!$A36,Airbus!M:M)</f>
        <v>0</v>
      </c>
      <c r="O36" s="531">
        <f>SUMIF(Airbus!$A:$A,'Price Table 8 Airbus'!$A36,Airbus!N:N)</f>
        <v>0</v>
      </c>
      <c r="P36" s="531">
        <f>SUMIF(Airbus!$A:$A,'Price Table 8 Airbus'!$A36,Airbus!O:O)</f>
        <v>0</v>
      </c>
      <c r="Q36" s="531">
        <f>SUMIF(Airbus!$A:$A,'Price Table 8 Airbus'!$A36,Airbus!P:P)</f>
        <v>0</v>
      </c>
      <c r="R36" s="531">
        <f>SUMIF(Airbus!$A:$A,'Price Table 8 Airbus'!$A36,Airbus!Q:Q)</f>
        <v>0</v>
      </c>
      <c r="S36" s="531">
        <f>SUMIF(Airbus!$A:$A,'Price Table 8 Airbus'!$A36,Airbus!R:R)</f>
        <v>0</v>
      </c>
      <c r="T36" s="531">
        <f>SUMIF(Airbus!$A:$A,'Price Table 8 Airbus'!$A36,Airbus!S:S)</f>
        <v>0</v>
      </c>
      <c r="U36" s="531">
        <f>SUMIF(Airbus!$A:$A,'Price Table 8 Airbus'!$A36,Airbus!T:T)</f>
        <v>0</v>
      </c>
      <c r="V36" s="531">
        <f>SUMIF(Airbus!$A:$A,'Price Table 8 Airbus'!$A36,Airbus!U:U)</f>
        <v>0</v>
      </c>
      <c r="W36" s="531">
        <f>SUMIF(Airbus!$A:$A,'Price Table 8 Airbus'!$A36,Airbus!V:V)</f>
        <v>0</v>
      </c>
      <c r="X36" s="531">
        <f>SUMIF(Airbus!$A:$A,'Price Table 8 Airbus'!$A36,Airbus!W:W)</f>
        <v>0</v>
      </c>
      <c r="Y36" s="531">
        <f>SUMIF(Airbus!$A:$A,'Price Table 8 Airbus'!$A36,Airbus!X:X)</f>
        <v>0</v>
      </c>
      <c r="Z36" s="31"/>
      <c r="AA36" s="31"/>
      <c r="AB36" s="31"/>
      <c r="AC36" s="31"/>
      <c r="AD36" s="31"/>
      <c r="AE36" s="31"/>
      <c r="AF36" s="31"/>
      <c r="AG36" s="31"/>
      <c r="AH36" s="118">
        <f t="shared" si="0"/>
        <v>0</v>
      </c>
      <c r="AI36" s="118">
        <f>SUMIF(Airbus!$A:$A,'Price Table 8 Airbus'!$A36,Airbus!V:V)</f>
        <v>0</v>
      </c>
    </row>
    <row r="37" spans="1:35" s="17" customFormat="1">
      <c r="A37" s="17" t="s">
        <v>587</v>
      </c>
      <c r="B37" s="187" t="s">
        <v>588</v>
      </c>
      <c r="C37" s="188"/>
      <c r="D37" s="186"/>
      <c r="E37" s="189" t="s">
        <v>14</v>
      </c>
      <c r="F37" s="112" t="s">
        <v>117</v>
      </c>
      <c r="G37" s="112" t="str">
        <f>CONCATENATE(E37,F37)</f>
        <v>MISSIONProcurement</v>
      </c>
      <c r="H37" s="190">
        <v>440000</v>
      </c>
      <c r="I37" s="17" t="s">
        <v>586</v>
      </c>
      <c r="J37" s="31"/>
      <c r="K37" s="31"/>
      <c r="L37" s="531">
        <f>SUMIF(Airbus!$A:$A,'Price Table 8 Airbus'!$A37,Airbus!K:K)</f>
        <v>0</v>
      </c>
      <c r="M37" s="531">
        <f>SUMIF(Airbus!$A:$A,'Price Table 8 Airbus'!$A37,Airbus!L:L)</f>
        <v>288.92700000000002</v>
      </c>
      <c r="N37" s="531">
        <f>SUMIF(Airbus!$A:$A,'Price Table 8 Airbus'!$A37,Airbus!M:M)</f>
        <v>0</v>
      </c>
      <c r="O37" s="531">
        <f>SUMIF(Airbus!$A:$A,'Price Table 8 Airbus'!$A37,Airbus!N:N)</f>
        <v>0</v>
      </c>
      <c r="P37" s="531">
        <f>SUMIF(Airbus!$A:$A,'Price Table 8 Airbus'!$A37,Airbus!O:O)</f>
        <v>0</v>
      </c>
      <c r="Q37" s="531">
        <f>SUMIF(Airbus!$A:$A,'Price Table 8 Airbus'!$A37,Airbus!P:P)</f>
        <v>0</v>
      </c>
      <c r="R37" s="531">
        <f>SUMIF(Airbus!$A:$A,'Price Table 8 Airbus'!$A37,Airbus!Q:Q)</f>
        <v>288.92700000000002</v>
      </c>
      <c r="S37" s="531">
        <f>SUMIF(Airbus!$A:$A,'Price Table 8 Airbus'!$A37,Airbus!R:R)</f>
        <v>0</v>
      </c>
      <c r="T37" s="531">
        <f>SUMIF(Airbus!$A:$A,'Price Table 8 Airbus'!$A37,Airbus!S:S)</f>
        <v>0</v>
      </c>
      <c r="U37" s="531">
        <f>SUMIF(Airbus!$A:$A,'Price Table 8 Airbus'!$A37,Airbus!T:T)</f>
        <v>0</v>
      </c>
      <c r="V37" s="531">
        <f>SUMIF(Airbus!$A:$A,'Price Table 8 Airbus'!$A37,Airbus!U:U)</f>
        <v>0</v>
      </c>
      <c r="W37" s="531">
        <f>SUMIF(Airbus!$A:$A,'Price Table 8 Airbus'!$A37,Airbus!V:V)</f>
        <v>0</v>
      </c>
      <c r="X37" s="531">
        <f>SUMIF(Airbus!$A:$A,'Price Table 8 Airbus'!$A37,Airbus!W:W)</f>
        <v>0</v>
      </c>
      <c r="Y37" s="531">
        <f>SUMIF(Airbus!$A:$A,'Price Table 8 Airbus'!$A37,Airbus!X:X)</f>
        <v>0</v>
      </c>
      <c r="Z37" s="31"/>
      <c r="AA37" s="31"/>
      <c r="AB37" s="31"/>
      <c r="AC37" s="31"/>
      <c r="AD37" s="31"/>
      <c r="AE37" s="31"/>
      <c r="AF37" s="31"/>
      <c r="AG37" s="31"/>
      <c r="AH37" s="118">
        <f t="shared" si="0"/>
        <v>577.85400000000004</v>
      </c>
      <c r="AI37" s="118">
        <f>SUMIF(Airbus!$A:$A,'Price Table 8 Airbus'!$A37,Airbus!V:V)</f>
        <v>0</v>
      </c>
    </row>
    <row r="38" spans="1:35" s="94" customFormat="1">
      <c r="B38" s="519"/>
      <c r="C38" s="520"/>
      <c r="D38" s="521" t="s">
        <v>562</v>
      </c>
      <c r="E38" s="522"/>
      <c r="F38" s="522"/>
      <c r="G38" s="522"/>
      <c r="H38" s="17"/>
    </row>
    <row r="39" spans="1:35">
      <c r="B39" s="48" t="s">
        <v>589</v>
      </c>
      <c r="C39" s="49"/>
      <c r="D39" s="50"/>
      <c r="H39"/>
    </row>
    <row r="40" spans="1:35">
      <c r="A40" t="s">
        <v>204</v>
      </c>
      <c r="B40" s="51" t="s">
        <v>590</v>
      </c>
      <c r="C40" s="53"/>
      <c r="D40" s="44"/>
      <c r="E40" s="36" t="s">
        <v>14</v>
      </c>
      <c r="F40" s="36" t="s">
        <v>13</v>
      </c>
      <c r="G40" s="36" t="str">
        <f>CONCATENATE(E40,F40)</f>
        <v>MISSIONManpower</v>
      </c>
      <c r="H40" s="61">
        <v>450000</v>
      </c>
      <c r="I40" s="66" t="s">
        <v>591</v>
      </c>
      <c r="J40" s="28">
        <v>0</v>
      </c>
      <c r="K40" s="28"/>
      <c r="L40" s="284">
        <f>SUMIF(Airbus!$A:$A,'Price Table 8 Airbus'!$A40,Airbus!K:K)</f>
        <v>0</v>
      </c>
      <c r="M40" s="284">
        <f>SUMIF(Airbus!$A:$A,'Price Table 8 Airbus'!$A40,Airbus!L:L)</f>
        <v>0</v>
      </c>
      <c r="N40" s="284">
        <f>SUMIF(Airbus!$A:$A,'Price Table 8 Airbus'!$A40,Airbus!M:M)</f>
        <v>0</v>
      </c>
      <c r="O40" s="284">
        <f>SUMIF(Airbus!$A:$A,'Price Table 8 Airbus'!$A40,Airbus!N:N)</f>
        <v>0</v>
      </c>
      <c r="P40" s="284">
        <f>SUMIF(Airbus!$A:$A,'Price Table 8 Airbus'!$A40,Airbus!O:O)</f>
        <v>0</v>
      </c>
      <c r="Q40" s="284">
        <f>SUMIF(Airbus!$A:$A,'Price Table 8 Airbus'!$A40,Airbus!P:P)</f>
        <v>0</v>
      </c>
      <c r="R40" s="284">
        <f>SUMIF(Airbus!$A:$A,'Price Table 8 Airbus'!$A40,Airbus!Q:Q)</f>
        <v>0</v>
      </c>
      <c r="S40" s="284">
        <f>SUMIF(Airbus!$A:$A,'Price Table 8 Airbus'!$A40,Airbus!R:R)</f>
        <v>0</v>
      </c>
      <c r="T40" s="284">
        <f>SUMIF(Airbus!$A:$A,'Price Table 8 Airbus'!$A40,Airbus!S:S)</f>
        <v>0</v>
      </c>
      <c r="U40" s="284">
        <f>SUMIF(Airbus!$A:$A,'Price Table 8 Airbus'!$A40,Airbus!T:T)</f>
        <v>0</v>
      </c>
      <c r="V40" s="284">
        <f>SUMIF(Airbus!$A:$A,'Price Table 8 Airbus'!$A40,Airbus!U:U)</f>
        <v>0</v>
      </c>
      <c r="W40" s="284">
        <f>SUMIF(Airbus!$A:$A,'Price Table 8 Airbus'!$A40,Airbus!V:V)</f>
        <v>0</v>
      </c>
      <c r="X40" s="284">
        <f>SUMIF(Airbus!$A:$A,'Price Table 8 Airbus'!$A40,Airbus!W:W)</f>
        <v>0</v>
      </c>
      <c r="Y40" s="284">
        <f>SUMIF(Airbus!$A:$A,'Price Table 8 Airbus'!$A40,Airbus!X:X)</f>
        <v>0</v>
      </c>
      <c r="Z40" s="28"/>
      <c r="AA40" s="28"/>
      <c r="AB40" s="28"/>
      <c r="AC40" s="28"/>
      <c r="AD40" s="28"/>
      <c r="AE40" s="28"/>
      <c r="AF40" s="28"/>
      <c r="AG40" s="28"/>
      <c r="AH40" s="115">
        <f t="shared" si="0"/>
        <v>0</v>
      </c>
      <c r="AI40" s="115">
        <f>SUMIF(Airbus!$A:$A,'Price Table 8 Airbus'!$A40,Airbus!V:V)</f>
        <v>0</v>
      </c>
    </row>
    <row r="41" spans="1:35">
      <c r="A41" t="s">
        <v>592</v>
      </c>
      <c r="B41" s="51" t="s">
        <v>593</v>
      </c>
      <c r="C41" s="53"/>
      <c r="D41" s="44"/>
      <c r="E41" s="36" t="s">
        <v>14</v>
      </c>
      <c r="F41" s="36" t="s">
        <v>117</v>
      </c>
      <c r="G41" s="36" t="str">
        <f>CONCATENATE(E41,F41)</f>
        <v>MISSIONProcurement</v>
      </c>
      <c r="H41" s="61">
        <v>450000</v>
      </c>
      <c r="J41" s="28"/>
      <c r="K41" s="28"/>
      <c r="L41" s="284">
        <f>SUMIF(Airbus!$A:$A,'Price Table 8 Airbus'!$A41,Airbus!K:K)</f>
        <v>0</v>
      </c>
      <c r="M41" s="284">
        <f>SUMIF(Airbus!$A:$A,'Price Table 8 Airbus'!$A41,Airbus!L:L)</f>
        <v>0</v>
      </c>
      <c r="N41" s="284">
        <f>SUMIF(Airbus!$A:$A,'Price Table 8 Airbus'!$A41,Airbus!M:M)</f>
        <v>0</v>
      </c>
      <c r="O41" s="284">
        <f>SUMIF(Airbus!$A:$A,'Price Table 8 Airbus'!$A41,Airbus!N:N)</f>
        <v>0</v>
      </c>
      <c r="P41" s="284">
        <f>SUMIF(Airbus!$A:$A,'Price Table 8 Airbus'!$A41,Airbus!O:O)</f>
        <v>0</v>
      </c>
      <c r="Q41" s="284">
        <f>SUMIF(Airbus!$A:$A,'Price Table 8 Airbus'!$A41,Airbus!P:P)</f>
        <v>0</v>
      </c>
      <c r="R41" s="284">
        <f>SUMIF(Airbus!$A:$A,'Price Table 8 Airbus'!$A41,Airbus!Q:Q)</f>
        <v>0</v>
      </c>
      <c r="S41" s="284">
        <f>SUMIF(Airbus!$A:$A,'Price Table 8 Airbus'!$A41,Airbus!R:R)</f>
        <v>0</v>
      </c>
      <c r="T41" s="284">
        <f>SUMIF(Airbus!$A:$A,'Price Table 8 Airbus'!$A41,Airbus!S:S)</f>
        <v>0</v>
      </c>
      <c r="U41" s="284">
        <f>SUMIF(Airbus!$A:$A,'Price Table 8 Airbus'!$A41,Airbus!T:T)</f>
        <v>0</v>
      </c>
      <c r="V41" s="284">
        <f>SUMIF(Airbus!$A:$A,'Price Table 8 Airbus'!$A41,Airbus!U:U)</f>
        <v>0</v>
      </c>
      <c r="W41" s="284">
        <f>SUMIF(Airbus!$A:$A,'Price Table 8 Airbus'!$A41,Airbus!V:V)</f>
        <v>0</v>
      </c>
      <c r="X41" s="284">
        <f>SUMIF(Airbus!$A:$A,'Price Table 8 Airbus'!$A41,Airbus!W:W)</f>
        <v>0</v>
      </c>
      <c r="Y41" s="284">
        <f>SUMIF(Airbus!$A:$A,'Price Table 8 Airbus'!$A41,Airbus!X:X)</f>
        <v>0</v>
      </c>
      <c r="Z41" s="28"/>
      <c r="AA41" s="28"/>
      <c r="AB41" s="28"/>
      <c r="AC41" s="28"/>
      <c r="AD41" s="28"/>
      <c r="AE41" s="28"/>
      <c r="AF41" s="28"/>
      <c r="AG41" s="28"/>
      <c r="AH41" s="115">
        <f t="shared" si="0"/>
        <v>0</v>
      </c>
      <c r="AI41" s="115">
        <f>SUMIF(Airbus!$A:$A,'Price Table 8 Airbus'!$A41,Airbus!V:V)</f>
        <v>0</v>
      </c>
    </row>
    <row r="42" spans="1:35" s="16" customFormat="1">
      <c r="B42" s="45"/>
      <c r="C42" s="55"/>
      <c r="D42" s="56" t="s">
        <v>562</v>
      </c>
      <c r="E42" s="57"/>
      <c r="F42" s="57"/>
      <c r="G42" s="57"/>
      <c r="H42" s="17"/>
    </row>
    <row r="43" spans="1:35">
      <c r="B43" s="48" t="s">
        <v>157</v>
      </c>
      <c r="C43" s="52"/>
      <c r="D43" s="50"/>
      <c r="H43"/>
    </row>
    <row r="44" spans="1:35">
      <c r="A44" t="s">
        <v>275</v>
      </c>
      <c r="B44" s="51" t="s">
        <v>594</v>
      </c>
      <c r="C44" s="53"/>
      <c r="D44" s="44"/>
      <c r="E44" s="37" t="s">
        <v>14</v>
      </c>
      <c r="F44" s="36" t="s">
        <v>13</v>
      </c>
      <c r="G44" s="36" t="str">
        <f>CONCATENATE(E44,F44)</f>
        <v>MISSIONManpower</v>
      </c>
      <c r="H44" s="16">
        <v>470000</v>
      </c>
      <c r="I44" t="s">
        <v>595</v>
      </c>
      <c r="J44" s="28"/>
      <c r="K44" s="28"/>
      <c r="L44" s="284">
        <f>SUMIF(Airbus!$A:$A,'Price Table 8 Airbus'!$A44,Airbus!K:K)</f>
        <v>0</v>
      </c>
      <c r="M44" s="284">
        <f>SUMIF(Airbus!$A:$A,'Price Table 8 Airbus'!$A44,Airbus!L:L)</f>
        <v>0</v>
      </c>
      <c r="N44" s="284">
        <f>SUMIF(Airbus!$A:$A,'Price Table 8 Airbus'!$A44,Airbus!M:M)</f>
        <v>0</v>
      </c>
      <c r="O44" s="284">
        <f>SUMIF(Airbus!$A:$A,'Price Table 8 Airbus'!$A44,Airbus!N:N)</f>
        <v>0</v>
      </c>
      <c r="P44" s="284">
        <f>SUMIF(Airbus!$A:$A,'Price Table 8 Airbus'!$A44,Airbus!O:O)</f>
        <v>0</v>
      </c>
      <c r="Q44" s="284">
        <f>SUMIF(Airbus!$A:$A,'Price Table 8 Airbus'!$A44,Airbus!P:P)</f>
        <v>0</v>
      </c>
      <c r="R44" s="284">
        <f>SUMIF(Airbus!$A:$A,'Price Table 8 Airbus'!$A44,Airbus!Q:Q)</f>
        <v>0</v>
      </c>
      <c r="S44" s="284">
        <f>SUMIF(Airbus!$A:$A,'Price Table 8 Airbus'!$A44,Airbus!R:R)</f>
        <v>0</v>
      </c>
      <c r="T44" s="284">
        <f>SUMIF(Airbus!$A:$A,'Price Table 8 Airbus'!$A44,Airbus!S:S)</f>
        <v>0</v>
      </c>
      <c r="U44" s="284">
        <f>SUMIF(Airbus!$A:$A,'Price Table 8 Airbus'!$A44,Airbus!T:T)</f>
        <v>0</v>
      </c>
      <c r="V44" s="284">
        <f>SUMIF(Airbus!$A:$A,'Price Table 8 Airbus'!$A44,Airbus!U:U)</f>
        <v>0</v>
      </c>
      <c r="W44" s="284">
        <f>SUMIF(Airbus!$A:$A,'Price Table 8 Airbus'!$A44,Airbus!V:V)</f>
        <v>0</v>
      </c>
      <c r="X44" s="284">
        <f>SUMIF(Airbus!$A:$A,'Price Table 8 Airbus'!$A44,Airbus!W:W)</f>
        <v>0</v>
      </c>
      <c r="Y44" s="284">
        <f>SUMIF(Airbus!$A:$A,'Price Table 8 Airbus'!$A44,Airbus!X:X)</f>
        <v>0</v>
      </c>
      <c r="Z44" s="28"/>
      <c r="AA44" s="28"/>
      <c r="AB44" s="28"/>
      <c r="AC44" s="28"/>
      <c r="AD44" s="28"/>
      <c r="AE44" s="28"/>
      <c r="AF44" s="28"/>
      <c r="AG44" s="28"/>
      <c r="AH44" s="115">
        <f t="shared" si="0"/>
        <v>0</v>
      </c>
      <c r="AI44" s="115">
        <f>SUMIF(Airbus!$A:$A,'Price Table 8 Airbus'!$A44,Airbus!V:V)</f>
        <v>0</v>
      </c>
    </row>
    <row r="45" spans="1:35">
      <c r="A45" t="s">
        <v>596</v>
      </c>
      <c r="B45" s="51" t="s">
        <v>597</v>
      </c>
      <c r="C45" s="53"/>
      <c r="D45" s="44"/>
      <c r="E45" s="37" t="s">
        <v>14</v>
      </c>
      <c r="F45" s="36" t="s">
        <v>117</v>
      </c>
      <c r="G45" s="36" t="str">
        <f>CONCATENATE(E45,F45)</f>
        <v>MISSIONProcurement</v>
      </c>
      <c r="H45" s="16">
        <v>470000</v>
      </c>
      <c r="I45" t="s">
        <v>595</v>
      </c>
      <c r="J45" s="28"/>
      <c r="K45" s="28"/>
      <c r="L45" s="284">
        <f>SUMIF(Airbus!$A:$A,'Price Table 8 Airbus'!$A45,Airbus!K:K)</f>
        <v>0</v>
      </c>
      <c r="M45" s="284">
        <f>SUMIF(Airbus!$A:$A,'Price Table 8 Airbus'!$A45,Airbus!L:L)</f>
        <v>0</v>
      </c>
      <c r="N45" s="284">
        <f>SUMIF(Airbus!$A:$A,'Price Table 8 Airbus'!$A45,Airbus!M:M)</f>
        <v>0</v>
      </c>
      <c r="O45" s="284">
        <f>SUMIF(Airbus!$A:$A,'Price Table 8 Airbus'!$A45,Airbus!N:N)</f>
        <v>0</v>
      </c>
      <c r="P45" s="284">
        <f>SUMIF(Airbus!$A:$A,'Price Table 8 Airbus'!$A45,Airbus!O:O)</f>
        <v>0</v>
      </c>
      <c r="Q45" s="284">
        <f>SUMIF(Airbus!$A:$A,'Price Table 8 Airbus'!$A45,Airbus!P:P)</f>
        <v>0</v>
      </c>
      <c r="R45" s="284">
        <f>SUMIF(Airbus!$A:$A,'Price Table 8 Airbus'!$A45,Airbus!Q:Q)</f>
        <v>0</v>
      </c>
      <c r="S45" s="284">
        <f>SUMIF(Airbus!$A:$A,'Price Table 8 Airbus'!$A45,Airbus!R:R)</f>
        <v>0</v>
      </c>
      <c r="T45" s="284">
        <f>SUMIF(Airbus!$A:$A,'Price Table 8 Airbus'!$A45,Airbus!S:S)</f>
        <v>0</v>
      </c>
      <c r="U45" s="284">
        <f>SUMIF(Airbus!$A:$A,'Price Table 8 Airbus'!$A45,Airbus!T:T)</f>
        <v>0</v>
      </c>
      <c r="V45" s="284">
        <f>SUMIF(Airbus!$A:$A,'Price Table 8 Airbus'!$A45,Airbus!U:U)</f>
        <v>0</v>
      </c>
      <c r="W45" s="284">
        <f>SUMIF(Airbus!$A:$A,'Price Table 8 Airbus'!$A45,Airbus!V:V)</f>
        <v>0</v>
      </c>
      <c r="X45" s="284">
        <f>SUMIF(Airbus!$A:$A,'Price Table 8 Airbus'!$A45,Airbus!W:W)</f>
        <v>0</v>
      </c>
      <c r="Y45" s="284">
        <f>SUMIF(Airbus!$A:$A,'Price Table 8 Airbus'!$A45,Airbus!X:X)</f>
        <v>0</v>
      </c>
      <c r="Z45" s="28"/>
      <c r="AA45" s="28"/>
      <c r="AB45" s="28"/>
      <c r="AC45" s="28"/>
      <c r="AD45" s="28"/>
      <c r="AE45" s="28"/>
      <c r="AF45" s="28"/>
      <c r="AG45" s="28"/>
      <c r="AH45" s="115">
        <f t="shared" si="0"/>
        <v>0</v>
      </c>
      <c r="AI45" s="115">
        <f>SUMIF(Airbus!$A:$A,'Price Table 8 Airbus'!$A45,Airbus!V:V)</f>
        <v>0</v>
      </c>
    </row>
    <row r="46" spans="1:35" s="16" customFormat="1">
      <c r="B46" s="45"/>
      <c r="C46" s="55"/>
      <c r="D46" s="56" t="s">
        <v>562</v>
      </c>
      <c r="E46" s="57"/>
      <c r="F46" s="57"/>
      <c r="G46" s="57"/>
    </row>
    <row r="47" spans="1:35">
      <c r="B47" s="48" t="s">
        <v>598</v>
      </c>
      <c r="C47" s="52"/>
      <c r="D47" s="50"/>
      <c r="H47" s="17"/>
    </row>
    <row r="48" spans="1:35">
      <c r="A48" t="s">
        <v>321</v>
      </c>
      <c r="B48" s="51" t="s">
        <v>599</v>
      </c>
      <c r="C48" s="53"/>
      <c r="D48" s="44"/>
      <c r="E48" s="36" t="s">
        <v>139</v>
      </c>
      <c r="F48" s="36" t="s">
        <v>13</v>
      </c>
      <c r="G48" s="36" t="str">
        <f>CONCATENATE(E48,F48)</f>
        <v>TECHManpower</v>
      </c>
      <c r="H48" s="63" t="s">
        <v>600</v>
      </c>
      <c r="I48" s="65" t="s">
        <v>601</v>
      </c>
      <c r="J48" s="28"/>
      <c r="K48" s="28"/>
      <c r="L48" s="284">
        <f>SUMIF(Airbus!$A:$A,'Price Table 8 Airbus'!$A48,Airbus!K:K)</f>
        <v>0</v>
      </c>
      <c r="M48" s="284">
        <f>SUMIF(Airbus!$A:$A,'Price Table 8 Airbus'!$A48,Airbus!L:L)</f>
        <v>0</v>
      </c>
      <c r="N48" s="284">
        <f>SUMIF(Airbus!$A:$A,'Price Table 8 Airbus'!$A48,Airbus!M:M)</f>
        <v>0</v>
      </c>
      <c r="O48" s="284">
        <f>SUMIF(Airbus!$A:$A,'Price Table 8 Airbus'!$A48,Airbus!N:N)</f>
        <v>0</v>
      </c>
      <c r="P48" s="284">
        <f>SUMIF(Airbus!$A:$A,'Price Table 8 Airbus'!$A48,Airbus!O:O)</f>
        <v>0</v>
      </c>
      <c r="Q48" s="284">
        <f>SUMIF(Airbus!$A:$A,'Price Table 8 Airbus'!$A48,Airbus!P:P)</f>
        <v>0</v>
      </c>
      <c r="R48" s="284">
        <f>SUMIF(Airbus!$A:$A,'Price Table 8 Airbus'!$A48,Airbus!Q:Q)</f>
        <v>0</v>
      </c>
      <c r="S48" s="284">
        <f>SUMIF(Airbus!$A:$A,'Price Table 8 Airbus'!$A48,Airbus!R:R)</f>
        <v>0</v>
      </c>
      <c r="T48" s="284">
        <f>SUMIF(Airbus!$A:$A,'Price Table 8 Airbus'!$A48,Airbus!S:S)</f>
        <v>0</v>
      </c>
      <c r="U48" s="284">
        <f>SUMIF(Airbus!$A:$A,'Price Table 8 Airbus'!$A48,Airbus!T:T)</f>
        <v>0</v>
      </c>
      <c r="V48" s="284">
        <f>SUMIF(Airbus!$A:$A,'Price Table 8 Airbus'!$A48,Airbus!U:U)</f>
        <v>0</v>
      </c>
      <c r="W48" s="284">
        <f>SUMIF(Airbus!$A:$A,'Price Table 8 Airbus'!$A48,Airbus!V:V)</f>
        <v>0</v>
      </c>
      <c r="X48" s="284">
        <f>SUMIF(Airbus!$A:$A,'Price Table 8 Airbus'!$A48,Airbus!W:W)</f>
        <v>0</v>
      </c>
      <c r="Y48" s="284">
        <f>SUMIF(Airbus!$A:$A,'Price Table 8 Airbus'!$A48,Airbus!X:X)</f>
        <v>0</v>
      </c>
      <c r="Z48" s="28"/>
      <c r="AA48" s="28"/>
      <c r="AB48" s="28"/>
      <c r="AC48" s="28"/>
      <c r="AD48" s="28"/>
      <c r="AE48" s="28"/>
      <c r="AF48" s="28"/>
      <c r="AG48" s="28"/>
      <c r="AH48" s="115">
        <f t="shared" si="0"/>
        <v>0</v>
      </c>
      <c r="AI48" s="115">
        <f>SUMIF(Airbus!$A:$A,'Price Table 8 Airbus'!$A48,Airbus!V:V)</f>
        <v>0</v>
      </c>
    </row>
    <row r="49" spans="1:55">
      <c r="A49" t="s">
        <v>602</v>
      </c>
      <c r="B49" s="51" t="s">
        <v>603</v>
      </c>
      <c r="C49" s="53"/>
      <c r="D49" s="44"/>
      <c r="E49" s="36" t="s">
        <v>139</v>
      </c>
      <c r="F49" s="36" t="s">
        <v>117</v>
      </c>
      <c r="G49" s="36" t="str">
        <f>CONCATENATE(E49,F49)</f>
        <v>TECHProcurement</v>
      </c>
      <c r="H49" s="63" t="s">
        <v>600</v>
      </c>
      <c r="I49" s="65" t="s">
        <v>601</v>
      </c>
      <c r="J49" s="28"/>
      <c r="K49" s="28"/>
      <c r="L49" s="284">
        <f>SUMIF(Airbus!$A:$A,'Price Table 8 Airbus'!$A49,Airbus!K:K)</f>
        <v>0</v>
      </c>
      <c r="M49" s="284">
        <f>SUMIF(Airbus!$A:$A,'Price Table 8 Airbus'!$A49,Airbus!L:L)</f>
        <v>0</v>
      </c>
      <c r="N49" s="284">
        <f>SUMIF(Airbus!$A:$A,'Price Table 8 Airbus'!$A49,Airbus!M:M)</f>
        <v>0</v>
      </c>
      <c r="O49" s="284">
        <f>SUMIF(Airbus!$A:$A,'Price Table 8 Airbus'!$A49,Airbus!N:N)</f>
        <v>0</v>
      </c>
      <c r="P49" s="284">
        <f>SUMIF(Airbus!$A:$A,'Price Table 8 Airbus'!$A49,Airbus!O:O)</f>
        <v>0</v>
      </c>
      <c r="Q49" s="284">
        <f>SUMIF(Airbus!$A:$A,'Price Table 8 Airbus'!$A49,Airbus!P:P)</f>
        <v>0</v>
      </c>
      <c r="R49" s="284">
        <f>SUMIF(Airbus!$A:$A,'Price Table 8 Airbus'!$A49,Airbus!Q:Q)</f>
        <v>0</v>
      </c>
      <c r="S49" s="284">
        <f>SUMIF(Airbus!$A:$A,'Price Table 8 Airbus'!$A49,Airbus!R:R)</f>
        <v>0</v>
      </c>
      <c r="T49" s="284">
        <f>SUMIF(Airbus!$A:$A,'Price Table 8 Airbus'!$A49,Airbus!S:S)</f>
        <v>0</v>
      </c>
      <c r="U49" s="284">
        <f>SUMIF(Airbus!$A:$A,'Price Table 8 Airbus'!$A49,Airbus!T:T)</f>
        <v>0</v>
      </c>
      <c r="V49" s="284">
        <f>SUMIF(Airbus!$A:$A,'Price Table 8 Airbus'!$A49,Airbus!U:U)</f>
        <v>0</v>
      </c>
      <c r="W49" s="284">
        <f>SUMIF(Airbus!$A:$A,'Price Table 8 Airbus'!$A49,Airbus!V:V)</f>
        <v>0</v>
      </c>
      <c r="X49" s="284">
        <f>SUMIF(Airbus!$A:$A,'Price Table 8 Airbus'!$A49,Airbus!W:W)</f>
        <v>0</v>
      </c>
      <c r="Y49" s="284">
        <f>SUMIF(Airbus!$A:$A,'Price Table 8 Airbus'!$A49,Airbus!X:X)</f>
        <v>0</v>
      </c>
      <c r="Z49" s="28"/>
      <c r="AA49" s="28"/>
      <c r="AB49" s="28"/>
      <c r="AC49" s="28"/>
      <c r="AD49" s="28"/>
      <c r="AE49" s="28"/>
      <c r="AF49" s="28"/>
      <c r="AG49" s="28"/>
      <c r="AH49" s="115">
        <f t="shared" si="0"/>
        <v>0</v>
      </c>
      <c r="AI49" s="115">
        <f>SUMIF(Airbus!$A:$A,'Price Table 8 Airbus'!$A49,Airbus!V:V)</f>
        <v>0</v>
      </c>
    </row>
    <row r="50" spans="1:55" s="16" customFormat="1">
      <c r="B50" s="45"/>
      <c r="C50" s="55"/>
      <c r="D50" s="56" t="s">
        <v>562</v>
      </c>
      <c r="E50" s="57"/>
      <c r="F50" s="57"/>
      <c r="G50" s="57"/>
      <c r="H50" s="63"/>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row>
    <row r="51" spans="1:55">
      <c r="B51" s="48" t="s">
        <v>604</v>
      </c>
      <c r="C51" s="52"/>
      <c r="D51" s="50"/>
      <c r="H51" s="17"/>
    </row>
    <row r="52" spans="1:55">
      <c r="A52" t="s">
        <v>336</v>
      </c>
      <c r="B52" s="51" t="s">
        <v>605</v>
      </c>
      <c r="C52" s="53"/>
      <c r="D52" s="44"/>
      <c r="E52" s="36" t="s">
        <v>139</v>
      </c>
      <c r="F52" s="36" t="s">
        <v>13</v>
      </c>
      <c r="G52" s="36" t="str">
        <f>CONCATENATE(E52,F52)</f>
        <v>TECHManpower</v>
      </c>
      <c r="H52" s="63">
        <v>490600</v>
      </c>
      <c r="J52" s="28"/>
      <c r="K52" s="28"/>
      <c r="L52" s="284">
        <f>SUMIF(Airbus!$A:$A,'Price Table 8 Airbus'!$A52,Airbus!K:K)</f>
        <v>0</v>
      </c>
      <c r="M52" s="284">
        <f>SUMIF(Airbus!$A:$A,'Price Table 8 Airbus'!$A52,Airbus!L:L)</f>
        <v>0</v>
      </c>
      <c r="N52" s="284">
        <f>SUMIF(Airbus!$A:$A,'Price Table 8 Airbus'!$A52,Airbus!M:M)</f>
        <v>0</v>
      </c>
      <c r="O52" s="284">
        <f>SUMIF(Airbus!$A:$A,'Price Table 8 Airbus'!$A52,Airbus!N:N)</f>
        <v>0</v>
      </c>
      <c r="P52" s="284">
        <f>SUMIF(Airbus!$A:$A,'Price Table 8 Airbus'!$A52,Airbus!O:O)</f>
        <v>0</v>
      </c>
      <c r="Q52" s="284">
        <f>SUMIF(Airbus!$A:$A,'Price Table 8 Airbus'!$A52,Airbus!P:P)</f>
        <v>0</v>
      </c>
      <c r="R52" s="284">
        <f>SUMIF(Airbus!$A:$A,'Price Table 8 Airbus'!$A52,Airbus!Q:Q)</f>
        <v>0</v>
      </c>
      <c r="S52" s="284">
        <f>SUMIF(Airbus!$A:$A,'Price Table 8 Airbus'!$A52,Airbus!R:R)</f>
        <v>0</v>
      </c>
      <c r="T52" s="284">
        <f>SUMIF(Airbus!$A:$A,'Price Table 8 Airbus'!$A52,Airbus!S:S)</f>
        <v>0</v>
      </c>
      <c r="U52" s="284">
        <f>SUMIF(Airbus!$A:$A,'Price Table 8 Airbus'!$A52,Airbus!T:T)</f>
        <v>0</v>
      </c>
      <c r="V52" s="284">
        <f>SUMIF(Airbus!$A:$A,'Price Table 8 Airbus'!$A52,Airbus!U:U)</f>
        <v>0</v>
      </c>
      <c r="W52" s="284">
        <f>SUMIF(Airbus!$A:$A,'Price Table 8 Airbus'!$A52,Airbus!V:V)</f>
        <v>0</v>
      </c>
      <c r="X52" s="284">
        <f>SUMIF(Airbus!$A:$A,'Price Table 8 Airbus'!$A52,Airbus!W:W)</f>
        <v>0</v>
      </c>
      <c r="Y52" s="284">
        <f>SUMIF(Airbus!$A:$A,'Price Table 8 Airbus'!$A52,Airbus!X:X)</f>
        <v>0</v>
      </c>
      <c r="Z52" s="28"/>
      <c r="AA52" s="28"/>
      <c r="AB52" s="28"/>
      <c r="AC52" s="28"/>
      <c r="AD52" s="28"/>
      <c r="AE52" s="28"/>
      <c r="AF52" s="28"/>
      <c r="AG52" s="28"/>
      <c r="AH52" s="115">
        <f t="shared" si="0"/>
        <v>0</v>
      </c>
      <c r="AI52" s="115">
        <f>SUMIF(Airbus!$A:$A,'Price Table 8 Airbus'!$A52,Airbus!V:V)</f>
        <v>0</v>
      </c>
    </row>
    <row r="53" spans="1:55">
      <c r="A53" t="s">
        <v>606</v>
      </c>
      <c r="B53" s="51" t="s">
        <v>607</v>
      </c>
      <c r="C53" s="53"/>
      <c r="D53" s="44"/>
      <c r="E53" s="36" t="s">
        <v>139</v>
      </c>
      <c r="F53" s="36" t="s">
        <v>117</v>
      </c>
      <c r="G53" s="36" t="str">
        <f>CONCATENATE(E53,F53)</f>
        <v>TECHProcurement</v>
      </c>
      <c r="H53" s="63">
        <v>490600</v>
      </c>
      <c r="J53" s="28"/>
      <c r="K53" s="28"/>
      <c r="L53" s="284">
        <f>SUMIF(Airbus!$A:$A,'Price Table 8 Airbus'!$A53,Airbus!K:K)</f>
        <v>0</v>
      </c>
      <c r="M53" s="284">
        <f>SUMIF(Airbus!$A:$A,'Price Table 8 Airbus'!$A53,Airbus!L:L)</f>
        <v>0</v>
      </c>
      <c r="N53" s="284">
        <f>SUMIF(Airbus!$A:$A,'Price Table 8 Airbus'!$A53,Airbus!M:M)</f>
        <v>0</v>
      </c>
      <c r="O53" s="284">
        <f>SUMIF(Airbus!$A:$A,'Price Table 8 Airbus'!$A53,Airbus!N:N)</f>
        <v>0</v>
      </c>
      <c r="P53" s="284">
        <f>SUMIF(Airbus!$A:$A,'Price Table 8 Airbus'!$A53,Airbus!O:O)</f>
        <v>0</v>
      </c>
      <c r="Q53" s="284">
        <f>SUMIF(Airbus!$A:$A,'Price Table 8 Airbus'!$A53,Airbus!P:P)</f>
        <v>0</v>
      </c>
      <c r="R53" s="284">
        <f>SUMIF(Airbus!$A:$A,'Price Table 8 Airbus'!$A53,Airbus!Q:Q)</f>
        <v>0</v>
      </c>
      <c r="S53" s="284">
        <f>SUMIF(Airbus!$A:$A,'Price Table 8 Airbus'!$A53,Airbus!R:R)</f>
        <v>0</v>
      </c>
      <c r="T53" s="284">
        <f>SUMIF(Airbus!$A:$A,'Price Table 8 Airbus'!$A53,Airbus!S:S)</f>
        <v>0</v>
      </c>
      <c r="U53" s="284">
        <f>SUMIF(Airbus!$A:$A,'Price Table 8 Airbus'!$A53,Airbus!T:T)</f>
        <v>0</v>
      </c>
      <c r="V53" s="284">
        <f>SUMIF(Airbus!$A:$A,'Price Table 8 Airbus'!$A53,Airbus!U:U)</f>
        <v>0</v>
      </c>
      <c r="W53" s="284">
        <f>SUMIF(Airbus!$A:$A,'Price Table 8 Airbus'!$A53,Airbus!V:V)</f>
        <v>0</v>
      </c>
      <c r="X53" s="284">
        <f>SUMIF(Airbus!$A:$A,'Price Table 8 Airbus'!$A53,Airbus!W:W)</f>
        <v>0</v>
      </c>
      <c r="Y53" s="284">
        <f>SUMIF(Airbus!$A:$A,'Price Table 8 Airbus'!$A53,Airbus!X:X)</f>
        <v>0</v>
      </c>
      <c r="Z53" s="28"/>
      <c r="AA53" s="28"/>
      <c r="AB53" s="28"/>
      <c r="AC53" s="28"/>
      <c r="AD53" s="28"/>
      <c r="AE53" s="28"/>
      <c r="AF53" s="28"/>
      <c r="AG53" s="28"/>
      <c r="AH53" s="115">
        <f t="shared" si="0"/>
        <v>0</v>
      </c>
      <c r="AI53" s="115">
        <f>SUMIF(Airbus!$A:$A,'Price Table 8 Airbus'!$A53,Airbus!V:V)</f>
        <v>0</v>
      </c>
    </row>
    <row r="54" spans="1:55" s="16" customFormat="1">
      <c r="B54" s="45"/>
      <c r="C54" s="55"/>
      <c r="D54" s="56" t="s">
        <v>562</v>
      </c>
      <c r="E54" s="57"/>
      <c r="F54" s="57"/>
      <c r="G54" s="57"/>
      <c r="H54" s="63"/>
    </row>
    <row r="55" spans="1:55">
      <c r="B55" s="48" t="s">
        <v>642</v>
      </c>
      <c r="C55" s="52"/>
      <c r="D55" s="50"/>
      <c r="H55" s="17"/>
    </row>
    <row r="56" spans="1:55">
      <c r="A56" t="s">
        <v>331</v>
      </c>
      <c r="B56" s="51" t="s">
        <v>609</v>
      </c>
      <c r="C56" s="53"/>
      <c r="D56" s="44"/>
      <c r="E56" s="37" t="s">
        <v>14</v>
      </c>
      <c r="F56" s="36" t="s">
        <v>117</v>
      </c>
      <c r="G56" s="36" t="str">
        <f>CONCATENATE(E56,F56)</f>
        <v>MISSIONProcurement</v>
      </c>
      <c r="H56" s="16">
        <v>490540</v>
      </c>
      <c r="J56" s="28"/>
      <c r="K56" s="28"/>
      <c r="L56" s="284">
        <f>SUMIF(Airbus!$A:$A,'Price Table 8 Airbus'!$A56,Airbus!K:K)</f>
        <v>0</v>
      </c>
      <c r="M56" s="284">
        <f>SUMIF(Airbus!$A:$A,'Price Table 8 Airbus'!$A56,Airbus!L:L)</f>
        <v>0</v>
      </c>
      <c r="N56" s="284">
        <f>SUMIF(Airbus!$A:$A,'Price Table 8 Airbus'!$A56,Airbus!M:M)</f>
        <v>0</v>
      </c>
      <c r="O56" s="284">
        <f>SUMIF(Airbus!$A:$A,'Price Table 8 Airbus'!$A56,Airbus!N:N)</f>
        <v>0</v>
      </c>
      <c r="P56" s="284">
        <f>SUMIF(Airbus!$A:$A,'Price Table 8 Airbus'!$A56,Airbus!O:O)</f>
        <v>0</v>
      </c>
      <c r="Q56" s="284">
        <f>SUMIF(Airbus!$A:$A,'Price Table 8 Airbus'!$A56,Airbus!P:P)</f>
        <v>0</v>
      </c>
      <c r="R56" s="284">
        <f>SUMIF(Airbus!$A:$A,'Price Table 8 Airbus'!$A56,Airbus!Q:Q)</f>
        <v>0</v>
      </c>
      <c r="S56" s="284">
        <f>SUMIF(Airbus!$A:$A,'Price Table 8 Airbus'!$A56,Airbus!R:R)</f>
        <v>0</v>
      </c>
      <c r="T56" s="284">
        <f>SUMIF(Airbus!$A:$A,'Price Table 8 Airbus'!$A56,Airbus!S:S)</f>
        <v>0</v>
      </c>
      <c r="U56" s="284">
        <f>SUMIF(Airbus!$A:$A,'Price Table 8 Airbus'!$A56,Airbus!T:T)</f>
        <v>0</v>
      </c>
      <c r="V56" s="284">
        <f>SUMIF(Airbus!$A:$A,'Price Table 8 Airbus'!$A56,Airbus!U:U)</f>
        <v>0</v>
      </c>
      <c r="W56" s="284">
        <f>SUMIF(Airbus!$A:$A,'Price Table 8 Airbus'!$A56,Airbus!V:V)</f>
        <v>0</v>
      </c>
      <c r="X56" s="284">
        <f>SUMIF(Airbus!$A:$A,'Price Table 8 Airbus'!$A56,Airbus!W:W)</f>
        <v>0</v>
      </c>
      <c r="Y56" s="284">
        <f>SUMIF(Airbus!$A:$A,'Price Table 8 Airbus'!$A56,Airbus!X:X)</f>
        <v>0</v>
      </c>
      <c r="Z56" s="28"/>
      <c r="AA56" s="28"/>
      <c r="AB56" s="28"/>
      <c r="AC56" s="28"/>
      <c r="AD56" s="28"/>
      <c r="AE56" s="28"/>
      <c r="AF56" s="28"/>
      <c r="AG56" s="28"/>
      <c r="AH56" s="115">
        <f t="shared" si="0"/>
        <v>0</v>
      </c>
      <c r="AI56" s="115">
        <f>SUMIF(Airbus!$A:$A,'Price Table 8 Airbus'!$A56,Airbus!V:V)</f>
        <v>0</v>
      </c>
    </row>
    <row r="57" spans="1:55" s="16" customFormat="1">
      <c r="B57" s="45"/>
      <c r="C57" s="55"/>
      <c r="D57" s="56" t="s">
        <v>562</v>
      </c>
      <c r="E57" s="57"/>
      <c r="F57" s="57"/>
      <c r="G57" s="57"/>
      <c r="H57" s="17"/>
      <c r="M57" s="284"/>
      <c r="N57" s="284"/>
      <c r="O57" s="284"/>
      <c r="P57" s="284"/>
      <c r="Q57" s="284"/>
      <c r="R57" s="284"/>
      <c r="S57" s="284"/>
      <c r="T57" s="284"/>
      <c r="U57" s="284"/>
      <c r="V57" s="284"/>
      <c r="W57" s="284"/>
      <c r="X57" s="284"/>
      <c r="Y57" s="284"/>
    </row>
    <row r="58" spans="1:55">
      <c r="B58" s="46" t="s">
        <v>611</v>
      </c>
      <c r="C58" s="47"/>
      <c r="D58" s="41"/>
      <c r="H58"/>
    </row>
    <row r="59" spans="1:55">
      <c r="B59" s="48" t="s">
        <v>612</v>
      </c>
      <c r="C59" s="49"/>
      <c r="D59" s="50"/>
      <c r="H59"/>
    </row>
    <row r="60" spans="1:55">
      <c r="A60" t="s">
        <v>230</v>
      </c>
      <c r="B60" s="51" t="s">
        <v>613</v>
      </c>
      <c r="C60" s="54"/>
      <c r="D60" s="44"/>
      <c r="E60" s="36" t="s">
        <v>139</v>
      </c>
      <c r="F60" s="36" t="s">
        <v>13</v>
      </c>
      <c r="G60" s="36" t="str">
        <f>CONCATENATE(E60,F60)</f>
        <v>TECHManpower</v>
      </c>
      <c r="H60" t="s">
        <v>614</v>
      </c>
      <c r="J60" s="33">
        <v>0</v>
      </c>
      <c r="K60" s="33"/>
      <c r="L60" s="284">
        <f>SUMIF(Airbus!$A:$A,'Price Table 8 Airbus'!$A60,Airbus!K:K)</f>
        <v>0</v>
      </c>
      <c r="M60" s="284">
        <f>SUMIF(Airbus!$A:$A,'Price Table 8 Airbus'!$A60,Airbus!L:L)</f>
        <v>0</v>
      </c>
      <c r="N60" s="284">
        <f>SUMIF(Airbus!$A:$A,'Price Table 8 Airbus'!$A60,Airbus!M:M)</f>
        <v>0</v>
      </c>
      <c r="O60" s="284">
        <f>SUMIF(Airbus!$A:$A,'Price Table 8 Airbus'!$A60,Airbus!N:N)</f>
        <v>0</v>
      </c>
      <c r="P60" s="284">
        <f>SUMIF(Airbus!$A:$A,'Price Table 8 Airbus'!$A60,Airbus!O:O)</f>
        <v>0</v>
      </c>
      <c r="Q60" s="284">
        <f>SUMIF(Airbus!$A:$A,'Price Table 8 Airbus'!$A60,Airbus!P:P)</f>
        <v>0</v>
      </c>
      <c r="R60" s="284">
        <f>SUMIF(Airbus!$A:$A,'Price Table 8 Airbus'!$A60,Airbus!Q:Q)</f>
        <v>0</v>
      </c>
      <c r="S60" s="284">
        <f>SUMIF(Airbus!$A:$A,'Price Table 8 Airbus'!$A60,Airbus!R:R)</f>
        <v>0</v>
      </c>
      <c r="T60" s="284">
        <f>SUMIF(Airbus!$A:$A,'Price Table 8 Airbus'!$A60,Airbus!S:S)</f>
        <v>0</v>
      </c>
      <c r="U60" s="284">
        <f>SUMIF(Airbus!$A:$A,'Price Table 8 Airbus'!$A60,Airbus!T:T)</f>
        <v>0</v>
      </c>
      <c r="V60" s="284">
        <f>SUMIF(Airbus!$A:$A,'Price Table 8 Airbus'!$A60,Airbus!U:U)</f>
        <v>0</v>
      </c>
      <c r="W60" s="284">
        <f>SUMIF(Airbus!$A:$A,'Price Table 8 Airbus'!$A60,Airbus!V:V)</f>
        <v>0</v>
      </c>
      <c r="X60" s="284">
        <f>SUMIF(Airbus!$A:$A,'Price Table 8 Airbus'!$A60,Airbus!W:W)</f>
        <v>0</v>
      </c>
      <c r="Y60" s="284">
        <f>SUMIF(Airbus!$A:$A,'Price Table 8 Airbus'!$A60,Airbus!X:X)</f>
        <v>0</v>
      </c>
      <c r="Z60" s="33"/>
      <c r="AA60" s="33"/>
      <c r="AB60" s="33"/>
      <c r="AC60" s="33"/>
      <c r="AD60" s="33"/>
      <c r="AE60" s="33"/>
      <c r="AF60" s="33"/>
      <c r="AG60" s="33"/>
      <c r="AH60" s="115">
        <f t="shared" si="0"/>
        <v>0</v>
      </c>
      <c r="AI60" s="115">
        <f>SUMIF(Airbus!$A:$A,'Price Table 8 Airbus'!$A60,Airbus!V:V)</f>
        <v>0</v>
      </c>
    </row>
    <row r="61" spans="1:55">
      <c r="A61" t="s">
        <v>138</v>
      </c>
      <c r="B61" s="51" t="s">
        <v>615</v>
      </c>
      <c r="C61" s="54"/>
      <c r="D61" s="44"/>
      <c r="E61" s="36" t="s">
        <v>139</v>
      </c>
      <c r="F61" s="36" t="s">
        <v>117</v>
      </c>
      <c r="G61" s="36" t="str">
        <f>CONCATENATE(E61,F61)</f>
        <v>TECHProcurement</v>
      </c>
      <c r="H61" t="s">
        <v>616</v>
      </c>
      <c r="I61" s="65" t="s">
        <v>610</v>
      </c>
      <c r="J61" s="33">
        <v>0</v>
      </c>
      <c r="K61" s="33"/>
      <c r="L61" s="284">
        <f>SUMIF(Airbus!$A:$A,'Price Table 8 Airbus'!$A61,Airbus!K:K)</f>
        <v>0</v>
      </c>
      <c r="M61" s="284">
        <f>SUMIF(Airbus!$A:$A,'Price Table 8 Airbus'!$A61,Airbus!L:L)</f>
        <v>0</v>
      </c>
      <c r="N61" s="284">
        <f>SUMIF(Airbus!$A:$A,'Price Table 8 Airbus'!$A61,Airbus!M:M)</f>
        <v>0</v>
      </c>
      <c r="O61" s="284">
        <f>SUMIF(Airbus!$A:$A,'Price Table 8 Airbus'!$A61,Airbus!N:N)</f>
        <v>0</v>
      </c>
      <c r="P61" s="284">
        <f>SUMIF(Airbus!$A:$A,'Price Table 8 Airbus'!$A61,Airbus!O:O)</f>
        <v>0</v>
      </c>
      <c r="Q61" s="284">
        <f>SUMIF(Airbus!$A:$A,'Price Table 8 Airbus'!$A61,Airbus!P:P)</f>
        <v>0</v>
      </c>
      <c r="R61" s="284">
        <f>SUMIF(Airbus!$A:$A,'Price Table 8 Airbus'!$A61,Airbus!Q:Q)</f>
        <v>0</v>
      </c>
      <c r="S61" s="284">
        <f>SUMIF(Airbus!$A:$A,'Price Table 8 Airbus'!$A61,Airbus!R:R)</f>
        <v>0</v>
      </c>
      <c r="T61" s="284">
        <f>SUMIF(Airbus!$A:$A,'Price Table 8 Airbus'!$A61,Airbus!S:S)</f>
        <v>0</v>
      </c>
      <c r="U61" s="284">
        <f>SUMIF(Airbus!$A:$A,'Price Table 8 Airbus'!$A61,Airbus!T:T)</f>
        <v>0</v>
      </c>
      <c r="V61" s="284">
        <f>SUMIF(Airbus!$A:$A,'Price Table 8 Airbus'!$A61,Airbus!U:U)</f>
        <v>0</v>
      </c>
      <c r="W61" s="284">
        <f>SUMIF(Airbus!$A:$A,'Price Table 8 Airbus'!$A61,Airbus!V:V)</f>
        <v>0</v>
      </c>
      <c r="X61" s="284">
        <f>SUMIF(Airbus!$A:$A,'Price Table 8 Airbus'!$A61,Airbus!W:W)</f>
        <v>0</v>
      </c>
      <c r="Y61" s="284">
        <f>SUMIF(Airbus!$A:$A,'Price Table 8 Airbus'!$A61,Airbus!X:X)</f>
        <v>0</v>
      </c>
      <c r="Z61" s="33"/>
      <c r="AA61" s="33"/>
      <c r="AB61" s="33"/>
      <c r="AC61" s="33"/>
      <c r="AD61" s="33"/>
      <c r="AE61" s="33"/>
      <c r="AF61" s="33"/>
      <c r="AG61" s="33"/>
      <c r="AH61" s="115">
        <f t="shared" si="0"/>
        <v>0</v>
      </c>
      <c r="AI61" s="115">
        <f>SUMIF(Airbus!$A:$A,'Price Table 8 Airbus'!$A61,Airbus!V:V)</f>
        <v>0</v>
      </c>
    </row>
    <row r="62" spans="1:55" s="16" customFormat="1">
      <c r="B62" s="45"/>
      <c r="C62" s="55"/>
      <c r="D62" s="56" t="s">
        <v>562</v>
      </c>
      <c r="E62" s="57"/>
      <c r="F62" s="57"/>
      <c r="G62" s="57"/>
      <c r="H62" s="17"/>
    </row>
    <row r="63" spans="1:55">
      <c r="B63" s="48" t="s">
        <v>617</v>
      </c>
      <c r="C63" s="49"/>
      <c r="D63" s="50"/>
      <c r="H63"/>
    </row>
    <row r="64" spans="1:55">
      <c r="A64" t="s">
        <v>293</v>
      </c>
      <c r="B64" s="51" t="s">
        <v>618</v>
      </c>
      <c r="C64" s="54"/>
      <c r="D64" s="44"/>
      <c r="E64" s="37" t="s">
        <v>139</v>
      </c>
      <c r="F64" s="36" t="s">
        <v>13</v>
      </c>
      <c r="G64" s="36" t="str">
        <f>CONCATENATE(E64,F64)</f>
        <v>TECHManpower</v>
      </c>
      <c r="H64" s="61">
        <v>480000</v>
      </c>
      <c r="I64" t="s">
        <v>619</v>
      </c>
      <c r="J64" s="28"/>
      <c r="K64" s="28"/>
      <c r="L64" s="284">
        <f>SUMIF(Airbus!$A:$A,'Price Table 8 Airbus'!$A64,Airbus!K:K)</f>
        <v>0</v>
      </c>
      <c r="M64" s="284">
        <f>SUMIF(Airbus!$A:$A,'Price Table 8 Airbus'!$A64,Airbus!L:L)</f>
        <v>0</v>
      </c>
      <c r="N64" s="284">
        <f>SUMIF(Airbus!$A:$A,'Price Table 8 Airbus'!$A64,Airbus!M:M)</f>
        <v>0</v>
      </c>
      <c r="O64" s="284">
        <f>SUMIF(Airbus!$A:$A,'Price Table 8 Airbus'!$A64,Airbus!N:N)</f>
        <v>0</v>
      </c>
      <c r="P64" s="284">
        <f>SUMIF(Airbus!$A:$A,'Price Table 8 Airbus'!$A64,Airbus!O:O)</f>
        <v>0</v>
      </c>
      <c r="Q64" s="284">
        <f>SUMIF(Airbus!$A:$A,'Price Table 8 Airbus'!$A64,Airbus!P:P)</f>
        <v>0</v>
      </c>
      <c r="R64" s="284">
        <f>SUMIF(Airbus!$A:$A,'Price Table 8 Airbus'!$A64,Airbus!Q:Q)</f>
        <v>0</v>
      </c>
      <c r="S64" s="284">
        <f>SUMIF(Airbus!$A:$A,'Price Table 8 Airbus'!$A64,Airbus!R:R)</f>
        <v>0</v>
      </c>
      <c r="T64" s="284">
        <f>SUMIF(Airbus!$A:$A,'Price Table 8 Airbus'!$A64,Airbus!S:S)</f>
        <v>0</v>
      </c>
      <c r="U64" s="284">
        <f>SUMIF(Airbus!$A:$A,'Price Table 8 Airbus'!$A64,Airbus!T:T)</f>
        <v>0</v>
      </c>
      <c r="V64" s="284">
        <f>SUMIF(Airbus!$A:$A,'Price Table 8 Airbus'!$A64,Airbus!U:U)</f>
        <v>0</v>
      </c>
      <c r="W64" s="284">
        <f>SUMIF(Airbus!$A:$A,'Price Table 8 Airbus'!$A64,Airbus!V:V)</f>
        <v>0</v>
      </c>
      <c r="X64" s="284">
        <f>SUMIF(Airbus!$A:$A,'Price Table 8 Airbus'!$A64,Airbus!W:W)</f>
        <v>0</v>
      </c>
      <c r="Y64" s="284">
        <f>SUMIF(Airbus!$A:$A,'Price Table 8 Airbus'!$A64,Airbus!X:X)</f>
        <v>0</v>
      </c>
      <c r="Z64" s="28"/>
      <c r="AA64" s="28"/>
      <c r="AB64" s="28"/>
      <c r="AC64" s="28"/>
      <c r="AD64" s="28"/>
      <c r="AE64" s="28"/>
      <c r="AF64" s="28"/>
      <c r="AG64" s="28"/>
      <c r="AH64" s="115">
        <f t="shared" si="0"/>
        <v>0</v>
      </c>
      <c r="AI64" s="115">
        <f>SUMIF(Airbus!$A:$A,'Price Table 8 Airbus'!$A64,Airbus!V:V)</f>
        <v>0</v>
      </c>
    </row>
    <row r="65" spans="1:36">
      <c r="A65" t="s">
        <v>620</v>
      </c>
      <c r="B65" s="51" t="s">
        <v>621</v>
      </c>
      <c r="C65" s="54"/>
      <c r="D65" s="44"/>
      <c r="E65" s="36" t="s">
        <v>139</v>
      </c>
      <c r="F65" s="36" t="s">
        <v>117</v>
      </c>
      <c r="G65" s="36" t="str">
        <f>CONCATENATE(E65,F65)</f>
        <v>TECHProcurement</v>
      </c>
      <c r="H65" s="61">
        <v>480000</v>
      </c>
      <c r="J65" s="28"/>
      <c r="K65" s="28"/>
      <c r="L65" s="284">
        <f>SUMIF(Airbus!$A:$A,'Price Table 8 Airbus'!$A65,Airbus!K:K)</f>
        <v>0</v>
      </c>
      <c r="M65" s="284">
        <f>SUMIF(Airbus!$A:$A,'Price Table 8 Airbus'!$A65,Airbus!L:L)</f>
        <v>0</v>
      </c>
      <c r="N65" s="284">
        <f>SUMIF(Airbus!$A:$A,'Price Table 8 Airbus'!$A65,Airbus!M:M)</f>
        <v>0</v>
      </c>
      <c r="O65" s="284">
        <f>SUMIF(Airbus!$A:$A,'Price Table 8 Airbus'!$A65,Airbus!N:N)</f>
        <v>0</v>
      </c>
      <c r="P65" s="284">
        <f>SUMIF(Airbus!$A:$A,'Price Table 8 Airbus'!$A65,Airbus!O:O)</f>
        <v>0</v>
      </c>
      <c r="Q65" s="284">
        <f>SUMIF(Airbus!$A:$A,'Price Table 8 Airbus'!$A65,Airbus!P:P)</f>
        <v>0</v>
      </c>
      <c r="R65" s="284">
        <f>SUMIF(Airbus!$A:$A,'Price Table 8 Airbus'!$A65,Airbus!Q:Q)</f>
        <v>0</v>
      </c>
      <c r="S65" s="284">
        <f>SUMIF(Airbus!$A:$A,'Price Table 8 Airbus'!$A65,Airbus!R:R)</f>
        <v>0</v>
      </c>
      <c r="T65" s="284">
        <f>SUMIF(Airbus!$A:$A,'Price Table 8 Airbus'!$A65,Airbus!S:S)</f>
        <v>0</v>
      </c>
      <c r="U65" s="284">
        <f>SUMIF(Airbus!$A:$A,'Price Table 8 Airbus'!$A65,Airbus!T:T)</f>
        <v>0</v>
      </c>
      <c r="V65" s="284">
        <f>SUMIF(Airbus!$A:$A,'Price Table 8 Airbus'!$A65,Airbus!U:U)</f>
        <v>0</v>
      </c>
      <c r="W65" s="284">
        <f>SUMIF(Airbus!$A:$A,'Price Table 8 Airbus'!$A65,Airbus!V:V)</f>
        <v>0</v>
      </c>
      <c r="X65" s="284">
        <f>SUMIF(Airbus!$A:$A,'Price Table 8 Airbus'!$A65,Airbus!W:W)</f>
        <v>0</v>
      </c>
      <c r="Y65" s="284">
        <f>SUMIF(Airbus!$A:$A,'Price Table 8 Airbus'!$A65,Airbus!X:X)</f>
        <v>0</v>
      </c>
      <c r="Z65" s="28"/>
      <c r="AA65" s="28"/>
      <c r="AB65" s="28"/>
      <c r="AC65" s="28"/>
      <c r="AD65" s="28"/>
      <c r="AE65" s="28"/>
      <c r="AF65" s="28"/>
      <c r="AG65" s="28"/>
      <c r="AH65" s="115">
        <f t="shared" si="0"/>
        <v>0</v>
      </c>
      <c r="AI65" s="115">
        <f>SUMIF(Airbus!$A:$A,'Price Table 8 Airbus'!$A65,Airbus!V:V)</f>
        <v>0</v>
      </c>
    </row>
    <row r="66" spans="1:36" s="16" customFormat="1">
      <c r="B66" s="45"/>
      <c r="C66" s="55"/>
      <c r="D66" s="56" t="s">
        <v>562</v>
      </c>
      <c r="E66" s="57"/>
      <c r="F66" s="57"/>
      <c r="G66" s="57"/>
      <c r="H66" s="17"/>
    </row>
    <row r="67" spans="1:36">
      <c r="A67" t="s">
        <v>377</v>
      </c>
      <c r="B67" s="48" t="s">
        <v>622</v>
      </c>
      <c r="C67" s="49"/>
      <c r="D67" s="50"/>
      <c r="E67" s="36" t="s">
        <v>139</v>
      </c>
      <c r="F67" s="36" t="s">
        <v>117</v>
      </c>
      <c r="G67" s="36" t="str">
        <f>CONCATENATE(E67,F67)</f>
        <v>TECHProcurement</v>
      </c>
      <c r="H67" s="16">
        <v>540000</v>
      </c>
      <c r="J67" s="28"/>
      <c r="K67" s="28"/>
      <c r="L67" s="284">
        <f>SUMIF(Airbus!$A:$A,'Price Table 8 Airbus'!$A67,Airbus!K:K)</f>
        <v>0</v>
      </c>
      <c r="M67" s="284">
        <f>SUMIF(Airbus!$A:$A,'Price Table 8 Airbus'!$A67,Airbus!L:L)</f>
        <v>0</v>
      </c>
      <c r="N67" s="284">
        <f>SUMIF(Airbus!$A:$A,'Price Table 8 Airbus'!$A67,Airbus!M:M)</f>
        <v>0</v>
      </c>
      <c r="O67" s="284">
        <f>SUMIF(Airbus!$A:$A,'Price Table 8 Airbus'!$A67,Airbus!N:N)</f>
        <v>0</v>
      </c>
      <c r="P67" s="284">
        <f>SUMIF(Airbus!$A:$A,'Price Table 8 Airbus'!$A67,Airbus!O:O)</f>
        <v>0</v>
      </c>
      <c r="Q67" s="284">
        <f>SUMIF(Airbus!$A:$A,'Price Table 8 Airbus'!$A67,Airbus!P:P)</f>
        <v>0</v>
      </c>
      <c r="R67" s="284">
        <f>SUMIF(Airbus!$A:$A,'Price Table 8 Airbus'!$A67,Airbus!Q:Q)</f>
        <v>0</v>
      </c>
      <c r="S67" s="284">
        <f>SUMIF(Airbus!$A:$A,'Price Table 8 Airbus'!$A67,Airbus!R:R)</f>
        <v>0</v>
      </c>
      <c r="T67" s="284">
        <f>SUMIF(Airbus!$A:$A,'Price Table 8 Airbus'!$A67,Airbus!S:S)</f>
        <v>0</v>
      </c>
      <c r="U67" s="284">
        <f>SUMIF(Airbus!$A:$A,'Price Table 8 Airbus'!$A67,Airbus!T:T)</f>
        <v>0</v>
      </c>
      <c r="V67" s="284">
        <f>SUMIF(Airbus!$A:$A,'Price Table 8 Airbus'!$A67,Airbus!U:U)</f>
        <v>0</v>
      </c>
      <c r="W67" s="284">
        <f>SUMIF(Airbus!$A:$A,'Price Table 8 Airbus'!$A67,Airbus!V:V)</f>
        <v>0</v>
      </c>
      <c r="X67" s="284">
        <f>SUMIF(Airbus!$A:$A,'Price Table 8 Airbus'!$A67,Airbus!W:W)</f>
        <v>0</v>
      </c>
      <c r="Y67" s="284">
        <f>SUMIF(Airbus!$A:$A,'Price Table 8 Airbus'!$A67,Airbus!X:X)</f>
        <v>0</v>
      </c>
      <c r="Z67" s="28"/>
      <c r="AA67" s="28"/>
      <c r="AB67" s="28"/>
      <c r="AC67" s="28"/>
      <c r="AD67" s="28"/>
      <c r="AE67" s="28"/>
      <c r="AF67" s="28"/>
      <c r="AG67" s="28"/>
      <c r="AH67" s="115">
        <f t="shared" si="0"/>
        <v>0</v>
      </c>
      <c r="AI67" s="115">
        <f>SUMIF(Airbus!$A:$A,'Price Table 8 Airbus'!$A67,Airbus!V:V)</f>
        <v>0</v>
      </c>
    </row>
    <row r="68" spans="1:36" hidden="1">
      <c r="B68" s="20" t="s">
        <v>623</v>
      </c>
      <c r="C68" s="21"/>
      <c r="D68" s="22"/>
      <c r="H68"/>
      <c r="J68" s="28"/>
      <c r="K68" s="28"/>
      <c r="L68" s="28"/>
      <c r="M68" s="28"/>
      <c r="N68" s="121">
        <f t="shared" ref="N68" si="1">O68</f>
        <v>0</v>
      </c>
      <c r="O68" s="121">
        <f>SUMIF(Airbus!$A:$A,'Price Table 8 Airbus'!$A68,Airbus!K:K)/2</f>
        <v>0</v>
      </c>
      <c r="P68" s="121">
        <f t="shared" ref="P68" si="2">Q68</f>
        <v>0</v>
      </c>
      <c r="Q68" s="121">
        <f>SUMIF(Airbus!$A:$A,'Price Table 8 Airbus'!$A68,Airbus!M:M)/2</f>
        <v>0</v>
      </c>
      <c r="R68" s="121">
        <f t="shared" ref="R68" si="3">S68</f>
        <v>0</v>
      </c>
      <c r="S68" s="121">
        <f>SUMIF(Airbus!$A:$A,'Price Table 8 Airbus'!$A68,Airbus!O:O)/2</f>
        <v>0</v>
      </c>
      <c r="T68" s="121">
        <f t="shared" ref="T68" si="4">U68</f>
        <v>0</v>
      </c>
      <c r="U68" s="121">
        <f>SUMIF(Airbus!$A:$A,'Price Table 8 Airbus'!$A68,Airbus!Q:Q)/2</f>
        <v>0</v>
      </c>
      <c r="V68" s="121">
        <f t="shared" ref="V68" si="5">W68</f>
        <v>0</v>
      </c>
      <c r="W68" s="121">
        <f>SUMIF(Airbus!$A:$A,'Price Table 8 Airbus'!$A68,Airbus!S:S)/2</f>
        <v>0</v>
      </c>
      <c r="X68" s="121">
        <f t="shared" ref="X68" si="6">Y68</f>
        <v>0</v>
      </c>
      <c r="Y68" s="121">
        <f>SUMIF(Airbus!$A:$A,'Price Table 8 Airbus'!$A68,Airbus!U:U)/2</f>
        <v>0</v>
      </c>
      <c r="Z68" s="28"/>
      <c r="AA68" s="28"/>
      <c r="AB68" s="28"/>
      <c r="AC68" s="28"/>
      <c r="AD68" s="28"/>
      <c r="AE68" s="28"/>
      <c r="AF68" s="28"/>
      <c r="AG68" s="28"/>
      <c r="AH68" s="115">
        <f t="shared" si="0"/>
        <v>0</v>
      </c>
      <c r="AI68" s="115">
        <f>SUMIF(Airbus!$A:$A,'Price Table 8 Airbus'!$A68,Airbus!V:V)</f>
        <v>0</v>
      </c>
    </row>
    <row r="69" spans="1:36" ht="21.95" customHeight="1">
      <c r="B69" s="23"/>
      <c r="C69" s="5"/>
      <c r="D69" s="5"/>
      <c r="E69"/>
      <c r="F69"/>
      <c r="G69"/>
      <c r="H69"/>
      <c r="AH69" s="115"/>
      <c r="AI69" s="115"/>
    </row>
    <row r="70" spans="1:36" ht="21.95" customHeight="1">
      <c r="A70" t="s">
        <v>9</v>
      </c>
      <c r="B70" s="12" t="s">
        <v>624</v>
      </c>
      <c r="C70" s="13"/>
      <c r="D70" s="14"/>
      <c r="E70" s="37" t="s">
        <v>14</v>
      </c>
      <c r="F70" s="36" t="s">
        <v>117</v>
      </c>
      <c r="G70" s="36" t="str">
        <f>CONCATENATE(E70,F70)</f>
        <v>MISSIONProcurement</v>
      </c>
      <c r="H70" s="16">
        <v>320000</v>
      </c>
      <c r="AH70" s="115"/>
      <c r="AI70" s="115"/>
    </row>
    <row r="71" spans="1:36" ht="21.95" customHeight="1">
      <c r="B71" s="5"/>
      <c r="C71" s="5"/>
      <c r="D71" s="5"/>
      <c r="E71"/>
      <c r="F71"/>
      <c r="G71"/>
      <c r="H71"/>
      <c r="AH71" s="115"/>
      <c r="AI71" s="115"/>
    </row>
    <row r="72" spans="1:36">
      <c r="B72" s="23"/>
      <c r="C72" s="5"/>
      <c r="D72" s="5"/>
      <c r="H72"/>
    </row>
    <row r="73" spans="1:36">
      <c r="B73" s="12" t="s">
        <v>625</v>
      </c>
      <c r="C73" s="13"/>
      <c r="D73" s="14"/>
      <c r="H73"/>
    </row>
    <row r="74" spans="1:36">
      <c r="A74" t="s">
        <v>389</v>
      </c>
      <c r="B74" s="321" t="s">
        <v>626</v>
      </c>
      <c r="C74" s="19"/>
      <c r="D74" s="315"/>
      <c r="E74" s="37" t="s">
        <v>14</v>
      </c>
      <c r="F74" s="36" t="s">
        <v>13</v>
      </c>
      <c r="G74" s="36" t="str">
        <f>CONCATENATE(E74,F74)</f>
        <v>MISSIONManpower</v>
      </c>
      <c r="H74" s="64" t="s">
        <v>627</v>
      </c>
      <c r="J74" s="28">
        <v>0</v>
      </c>
      <c r="K74" s="28"/>
      <c r="L74" s="284">
        <f>SUMIF(Airbus!$A:$A,'Price Table 8 Airbus'!$A74,Airbus!K:K)</f>
        <v>0</v>
      </c>
      <c r="M74" s="284">
        <f>SUMIF(Airbus!$A:$A,'Price Table 8 Airbus'!$A74,Airbus!L:L)</f>
        <v>0</v>
      </c>
      <c r="N74" s="284">
        <f>SUMIF(Airbus!$A:$A,'Price Table 8 Airbus'!$A74,Airbus!M:M)</f>
        <v>0</v>
      </c>
      <c r="O74" s="284">
        <f>SUMIF(Airbus!$A:$A,'Price Table 8 Airbus'!$A74,Airbus!N:N)</f>
        <v>0</v>
      </c>
      <c r="P74" s="284">
        <f>SUMIF(Airbus!$A:$A,'Price Table 8 Airbus'!$A74,Airbus!O:O)</f>
        <v>0</v>
      </c>
      <c r="Q74" s="284">
        <f>SUMIF(Airbus!$A:$A,'Price Table 8 Airbus'!$A74,Airbus!P:P)</f>
        <v>0</v>
      </c>
      <c r="R74" s="284">
        <f>SUMIF(Airbus!$A:$A,'Price Table 8 Airbus'!$A74,Airbus!Q:Q)</f>
        <v>0</v>
      </c>
      <c r="S74" s="284">
        <f>SUMIF(Airbus!$A:$A,'Price Table 8 Airbus'!$A74,Airbus!R:R)</f>
        <v>0</v>
      </c>
      <c r="T74" s="284">
        <f>SUMIF(Airbus!$A:$A,'Price Table 8 Airbus'!$A74,Airbus!S:S)</f>
        <v>0</v>
      </c>
      <c r="U74" s="284">
        <f>SUMIF(Airbus!$A:$A,'Price Table 8 Airbus'!$A74,Airbus!T:T)</f>
        <v>0</v>
      </c>
      <c r="V74" s="284">
        <f>SUMIF(Airbus!$A:$A,'Price Table 8 Airbus'!$A74,Airbus!U:U)</f>
        <v>0</v>
      </c>
      <c r="W74" s="284">
        <f>SUMIF(Airbus!$A:$A,'Price Table 8 Airbus'!$A74,Airbus!V:V)</f>
        <v>0</v>
      </c>
      <c r="X74" s="284">
        <f>SUMIF(Airbus!$A:$A,'Price Table 8 Airbus'!$A74,Airbus!W:W)</f>
        <v>0</v>
      </c>
      <c r="Y74" s="284">
        <f>SUMIF(Airbus!$A:$A,'Price Table 8 Airbus'!$A74,Airbus!X:X)</f>
        <v>0</v>
      </c>
      <c r="Z74" s="28"/>
      <c r="AA74" s="28"/>
      <c r="AB74" s="28"/>
      <c r="AC74" s="28"/>
      <c r="AD74" s="28"/>
      <c r="AE74" s="28"/>
      <c r="AF74" s="28"/>
      <c r="AG74" s="28"/>
      <c r="AH74" s="115">
        <f t="shared" si="0"/>
        <v>0</v>
      </c>
      <c r="AI74" s="115">
        <f>SUMIF(Airbus!$A:$A,'Price Table 8 Airbus'!$A74,Airbus!V:V)</f>
        <v>0</v>
      </c>
    </row>
    <row r="75" spans="1:36">
      <c r="A75" t="s">
        <v>434</v>
      </c>
      <c r="B75" s="603" t="s">
        <v>432</v>
      </c>
      <c r="C75" s="5"/>
      <c r="D75" s="316"/>
      <c r="E75" s="37" t="s">
        <v>14</v>
      </c>
      <c r="F75" s="36" t="s">
        <v>13</v>
      </c>
      <c r="G75" s="36" t="str">
        <f>CONCATENATE(E75,F75)</f>
        <v>MISSIONManpower</v>
      </c>
      <c r="H75" s="60" t="s">
        <v>628</v>
      </c>
      <c r="J75" s="29">
        <v>0</v>
      </c>
      <c r="K75" s="28"/>
      <c r="L75" s="284">
        <f>SUMIF(Airbus!$A:$A,'Price Table 8 Airbus'!$A75,Airbus!K:K)</f>
        <v>0</v>
      </c>
      <c r="M75" s="284">
        <f>SUMIF(Airbus!$A:$A,'Price Table 8 Airbus'!$A75,Airbus!L:L)</f>
        <v>0</v>
      </c>
      <c r="N75" s="284">
        <f>SUMIF(Airbus!$A:$A,'Price Table 8 Airbus'!$A75,Airbus!M:M)</f>
        <v>0</v>
      </c>
      <c r="O75" s="284">
        <f>SUMIF(Airbus!$A:$A,'Price Table 8 Airbus'!$A75,Airbus!N:N)</f>
        <v>0</v>
      </c>
      <c r="P75" s="284">
        <f>SUMIF(Airbus!$A:$A,'Price Table 8 Airbus'!$A75,Airbus!O:O)</f>
        <v>0</v>
      </c>
      <c r="Q75" s="284">
        <f>SUMIF(Airbus!$A:$A,'Price Table 8 Airbus'!$A75,Airbus!P:P)</f>
        <v>0</v>
      </c>
      <c r="R75" s="284">
        <f>SUMIF(Airbus!$A:$A,'Price Table 8 Airbus'!$A75,Airbus!Q:Q)</f>
        <v>0</v>
      </c>
      <c r="S75" s="284">
        <f>SUMIF(Airbus!$A:$A,'Price Table 8 Airbus'!$A75,Airbus!R:R)</f>
        <v>0</v>
      </c>
      <c r="T75" s="284">
        <f>SUMIF(Airbus!$A:$A,'Price Table 8 Airbus'!$A75,Airbus!S:S)</f>
        <v>0</v>
      </c>
      <c r="U75" s="284">
        <f>SUMIF(Airbus!$A:$A,'Price Table 8 Airbus'!$A75,Airbus!T:T)</f>
        <v>0</v>
      </c>
      <c r="V75" s="284">
        <f>SUMIF(Airbus!$A:$A,'Price Table 8 Airbus'!$A75,Airbus!U:U)</f>
        <v>0</v>
      </c>
      <c r="W75" s="284">
        <f>SUMIF(Airbus!$A:$A,'Price Table 8 Airbus'!$A75,Airbus!V:V)</f>
        <v>0</v>
      </c>
      <c r="X75" s="284">
        <f>SUMIF(Airbus!$A:$A,'Price Table 8 Airbus'!$A75,Airbus!W:W)</f>
        <v>0</v>
      </c>
      <c r="Y75" s="284">
        <f>SUMIF(Airbus!$A:$A,'Price Table 8 Airbus'!$A75,Airbus!X:X)</f>
        <v>0</v>
      </c>
      <c r="Z75" s="29"/>
      <c r="AA75" s="28"/>
      <c r="AB75" s="28"/>
      <c r="AC75" s="28"/>
      <c r="AD75" s="28"/>
      <c r="AE75" s="28"/>
      <c r="AF75" s="28"/>
      <c r="AG75" s="28"/>
      <c r="AH75" s="115">
        <f t="shared" si="0"/>
        <v>0</v>
      </c>
      <c r="AI75" s="115">
        <f>SUMIF(Airbus!$A:$A,'Price Table 8 Airbus'!$A75,Airbus!V:V)</f>
        <v>0</v>
      </c>
    </row>
    <row r="76" spans="1:36">
      <c r="A76" t="s">
        <v>427</v>
      </c>
      <c r="B76" s="322" t="s">
        <v>629</v>
      </c>
      <c r="C76" s="5"/>
      <c r="D76" s="316"/>
      <c r="E76" s="36" t="s">
        <v>139</v>
      </c>
      <c r="F76" s="36" t="s">
        <v>13</v>
      </c>
      <c r="G76" s="36" t="str">
        <f>CONCATENATE(E76,F76)</f>
        <v>TECHManpower</v>
      </c>
      <c r="H76" s="16">
        <v>650000</v>
      </c>
      <c r="J76" s="28"/>
      <c r="K76" s="28"/>
      <c r="L76" s="284">
        <f>SUMIF(Airbus!$A:$A,'Price Table 8 Airbus'!$A76,Airbus!K:K)</f>
        <v>0</v>
      </c>
      <c r="M76" s="284">
        <f>SUMIF(Airbus!$A:$A,'Price Table 8 Airbus'!$A76,Airbus!L:L)</f>
        <v>0</v>
      </c>
      <c r="N76" s="284">
        <f>SUMIF(Airbus!$A:$A,'Price Table 8 Airbus'!$A76,Airbus!M:M)</f>
        <v>0</v>
      </c>
      <c r="O76" s="284">
        <f>SUMIF(Airbus!$A:$A,'Price Table 8 Airbus'!$A76,Airbus!N:N)</f>
        <v>0</v>
      </c>
      <c r="P76" s="284">
        <f>SUMIF(Airbus!$A:$A,'Price Table 8 Airbus'!$A76,Airbus!O:O)</f>
        <v>0</v>
      </c>
      <c r="Q76" s="284">
        <f>SUMIF(Airbus!$A:$A,'Price Table 8 Airbus'!$A76,Airbus!P:P)</f>
        <v>0</v>
      </c>
      <c r="R76" s="284">
        <f>SUMIF(Airbus!$A:$A,'Price Table 8 Airbus'!$A76,Airbus!Q:Q)</f>
        <v>0</v>
      </c>
      <c r="S76" s="284">
        <f>SUMIF(Airbus!$A:$A,'Price Table 8 Airbus'!$A76,Airbus!R:R)</f>
        <v>0</v>
      </c>
      <c r="T76" s="284">
        <f>SUMIF(Airbus!$A:$A,'Price Table 8 Airbus'!$A76,Airbus!S:S)</f>
        <v>0</v>
      </c>
      <c r="U76" s="284">
        <f>SUMIF(Airbus!$A:$A,'Price Table 8 Airbus'!$A76,Airbus!T:T)</f>
        <v>0</v>
      </c>
      <c r="V76" s="284">
        <f>SUMIF(Airbus!$A:$A,'Price Table 8 Airbus'!$A76,Airbus!U:U)</f>
        <v>0</v>
      </c>
      <c r="W76" s="284">
        <f>SUMIF(Airbus!$A:$A,'Price Table 8 Airbus'!$A76,Airbus!V:V)</f>
        <v>0</v>
      </c>
      <c r="X76" s="284">
        <f>SUMIF(Airbus!$A:$A,'Price Table 8 Airbus'!$A76,Airbus!W:W)</f>
        <v>0</v>
      </c>
      <c r="Y76" s="284">
        <f>SUMIF(Airbus!$A:$A,'Price Table 8 Airbus'!$A76,Airbus!X:X)</f>
        <v>0</v>
      </c>
      <c r="Z76" s="28"/>
      <c r="AA76" s="28"/>
      <c r="AB76" s="28"/>
      <c r="AC76" s="28"/>
      <c r="AD76" s="28"/>
      <c r="AE76" s="28"/>
      <c r="AF76" s="28"/>
      <c r="AG76" s="28"/>
      <c r="AH76" s="115">
        <f t="shared" si="0"/>
        <v>0</v>
      </c>
      <c r="AI76" s="115">
        <f>SUMIF(Airbus!$A:$A,'Price Table 8 Airbus'!$A76,Airbus!V:V)</f>
        <v>0</v>
      </c>
    </row>
    <row r="77" spans="1:36">
      <c r="A77" t="s">
        <v>396</v>
      </c>
      <c r="B77" s="322" t="s">
        <v>630</v>
      </c>
      <c r="C77" s="5"/>
      <c r="D77" s="316"/>
      <c r="E77" s="37" t="s">
        <v>14</v>
      </c>
      <c r="F77" s="37" t="s">
        <v>117</v>
      </c>
      <c r="G77" s="36" t="str">
        <f>CONCATENATE(E77,F77)</f>
        <v>MISSIONProcurement</v>
      </c>
      <c r="H77">
        <v>620100</v>
      </c>
      <c r="I77" s="18"/>
      <c r="J77" s="28"/>
      <c r="K77" s="28"/>
      <c r="L77" s="284">
        <f>SUMIF(Airbus!$A:$A,'Price Table 8 Airbus'!$A77,Airbus!K:K)</f>
        <v>0</v>
      </c>
      <c r="M77" s="284">
        <f>SUMIF(Airbus!$A:$A,'Price Table 8 Airbus'!$A77,Airbus!L:L)</f>
        <v>0</v>
      </c>
      <c r="N77" s="284">
        <f>SUMIF(Airbus!$A:$A,'Price Table 8 Airbus'!$A77,Airbus!M:M)</f>
        <v>0</v>
      </c>
      <c r="O77" s="284">
        <f>SUMIF(Airbus!$A:$A,'Price Table 8 Airbus'!$A77,Airbus!N:N)</f>
        <v>0</v>
      </c>
      <c r="P77" s="284">
        <f>SUMIF(Airbus!$A:$A,'Price Table 8 Airbus'!$A77,Airbus!O:O)</f>
        <v>0</v>
      </c>
      <c r="Q77" s="284">
        <f>SUMIF(Airbus!$A:$A,'Price Table 8 Airbus'!$A77,Airbus!P:P)</f>
        <v>0</v>
      </c>
      <c r="R77" s="284">
        <f>SUMIF(Airbus!$A:$A,'Price Table 8 Airbus'!$A77,Airbus!Q:Q)</f>
        <v>0</v>
      </c>
      <c r="S77" s="284">
        <f>SUMIF(Airbus!$A:$A,'Price Table 8 Airbus'!$A77,Airbus!R:R)</f>
        <v>0</v>
      </c>
      <c r="T77" s="284">
        <f>SUMIF(Airbus!$A:$A,'Price Table 8 Airbus'!$A77,Airbus!S:S)</f>
        <v>0</v>
      </c>
      <c r="U77" s="284">
        <f>SUMIF(Airbus!$A:$A,'Price Table 8 Airbus'!$A77,Airbus!T:T)</f>
        <v>0</v>
      </c>
      <c r="V77" s="284">
        <f>SUMIF(Airbus!$A:$A,'Price Table 8 Airbus'!$A77,Airbus!U:U)</f>
        <v>0</v>
      </c>
      <c r="W77" s="284">
        <f>SUMIF(Airbus!$A:$A,'Price Table 8 Airbus'!$A77,Airbus!V:V)</f>
        <v>0</v>
      </c>
      <c r="X77" s="284">
        <f>SUMIF(Airbus!$A:$A,'Price Table 8 Airbus'!$A77,Airbus!W:W)</f>
        <v>0</v>
      </c>
      <c r="Y77" s="284">
        <f>SUMIF(Airbus!$A:$A,'Price Table 8 Airbus'!$A77,Airbus!X:X)</f>
        <v>0</v>
      </c>
      <c r="Z77" s="28"/>
      <c r="AA77" s="28"/>
      <c r="AB77" s="28"/>
      <c r="AC77" s="28"/>
      <c r="AD77" s="28"/>
      <c r="AE77" s="28"/>
      <c r="AF77" s="28"/>
      <c r="AG77" s="28"/>
      <c r="AH77" s="115">
        <f t="shared" si="0"/>
        <v>0</v>
      </c>
      <c r="AI77" s="115">
        <f>SUMIF(Airbus!$A:$A,'Price Table 8 Airbus'!$A77,Airbus!V:V)</f>
        <v>0</v>
      </c>
    </row>
    <row r="78" spans="1:36" ht="15.75" thickBot="1">
      <c r="A78" t="s">
        <v>631</v>
      </c>
      <c r="B78" s="602" t="s">
        <v>632</v>
      </c>
      <c r="C78" s="318"/>
      <c r="D78" s="319"/>
      <c r="E78" s="37" t="s">
        <v>14</v>
      </c>
      <c r="F78" s="36" t="s">
        <v>117</v>
      </c>
      <c r="G78" s="36" t="str">
        <f>CONCATENATE(E78,F78)</f>
        <v>MISSIONProcurement</v>
      </c>
      <c r="H78" t="s">
        <v>643</v>
      </c>
      <c r="J78" s="28">
        <v>0</v>
      </c>
      <c r="K78" s="28"/>
      <c r="L78" s="284">
        <f>SUMIF(Airbus!$A:$A,'Price Table 8 Airbus'!$A78,Airbus!K:K)</f>
        <v>0</v>
      </c>
      <c r="M78" s="284">
        <f>SUMIF(Airbus!$A:$A,'Price Table 8 Airbus'!$A78,Airbus!L:L)</f>
        <v>0</v>
      </c>
      <c r="N78" s="284">
        <f>SUMIF(Airbus!$A:$A,'Price Table 8 Airbus'!$A78,Airbus!M:M)</f>
        <v>0</v>
      </c>
      <c r="O78" s="284">
        <f>SUMIF(Airbus!$A:$A,'Price Table 8 Airbus'!$A78,Airbus!N:N)</f>
        <v>0</v>
      </c>
      <c r="P78" s="284">
        <f>SUMIF(Airbus!$A:$A,'Price Table 8 Airbus'!$A78,Airbus!O:O)</f>
        <v>0</v>
      </c>
      <c r="Q78" s="284">
        <f>SUMIF(Airbus!$A:$A,'Price Table 8 Airbus'!$A78,Airbus!P:P)</f>
        <v>0</v>
      </c>
      <c r="R78" s="284">
        <f>SUMIF(Airbus!$A:$A,'Price Table 8 Airbus'!$A78,Airbus!Q:Q)</f>
        <v>0</v>
      </c>
      <c r="S78" s="284">
        <f>SUMIF(Airbus!$A:$A,'Price Table 8 Airbus'!$A78,Airbus!R:R)</f>
        <v>0</v>
      </c>
      <c r="T78" s="284">
        <f>SUMIF(Airbus!$A:$A,'Price Table 8 Airbus'!$A78,Airbus!S:S)</f>
        <v>0</v>
      </c>
      <c r="U78" s="284">
        <f>SUMIF(Airbus!$A:$A,'Price Table 8 Airbus'!$A78,Airbus!T:T)</f>
        <v>0</v>
      </c>
      <c r="V78" s="284">
        <f>SUMIF(Airbus!$A:$A,'Price Table 8 Airbus'!$A78,Airbus!U:U)</f>
        <v>0</v>
      </c>
      <c r="W78" s="284">
        <f>SUMIF(Airbus!$A:$A,'Price Table 8 Airbus'!$A78,Airbus!V:V)</f>
        <v>0</v>
      </c>
      <c r="X78" s="284">
        <f>SUMIF(Airbus!$A:$A,'Price Table 8 Airbus'!$A78,Airbus!W:W)</f>
        <v>0</v>
      </c>
      <c r="Y78" s="284">
        <f>SUMIF(Airbus!$A:$A,'Price Table 8 Airbus'!$A78,Airbus!X:X)</f>
        <v>0</v>
      </c>
      <c r="Z78" s="28"/>
      <c r="AA78" s="28"/>
      <c r="AB78" s="28"/>
      <c r="AC78" s="28"/>
      <c r="AD78" s="28"/>
      <c r="AE78" s="28"/>
      <c r="AF78" s="28"/>
      <c r="AG78" s="28"/>
      <c r="AH78" s="115">
        <f t="shared" si="0"/>
        <v>0</v>
      </c>
      <c r="AI78" s="115">
        <f>SUMIF(Airbus!$A:$A,'Price Table 8 Airbus'!$A78,Airbus!V:V)</f>
        <v>0</v>
      </c>
    </row>
    <row r="79" spans="1:36">
      <c r="A79" t="s">
        <v>633</v>
      </c>
      <c r="B79" s="25" t="s">
        <v>465</v>
      </c>
      <c r="C79" s="26"/>
      <c r="D79" s="27"/>
      <c r="E79" s="59"/>
      <c r="F79" s="59"/>
      <c r="G79" s="59"/>
      <c r="H79"/>
      <c r="J79" s="28"/>
      <c r="K79" s="28"/>
      <c r="L79" s="284">
        <f>SUMIF(Airbus!$A:$A,'Price Table 8 Airbus'!$A79,Airbus!K:K)</f>
        <v>52.426390893751304</v>
      </c>
      <c r="M79" s="284">
        <f>SUMIF(Airbus!$A:$A,'Price Table 8 Airbus'!$A79,Airbus!L:L)</f>
        <v>164.4694459779804</v>
      </c>
      <c r="N79" s="284">
        <f>SUMIF(Airbus!$A:$A,'Price Table 8 Airbus'!$A79,Airbus!M:M)</f>
        <v>184.37944842329668</v>
      </c>
      <c r="O79" s="284">
        <f>SUMIF(Airbus!$A:$A,'Price Table 8 Airbus'!$A79,Airbus!N:N)</f>
        <v>78.241647103304715</v>
      </c>
      <c r="P79" s="284">
        <f>SUMIF(Airbus!$A:$A,'Price Table 8 Airbus'!$A79,Airbus!O:O)</f>
        <v>263.00498561784286</v>
      </c>
      <c r="Q79" s="284">
        <f>SUMIF(Airbus!$A:$A,'Price Table 8 Airbus'!$A79,Airbus!P:P)</f>
        <v>182.49439476155544</v>
      </c>
      <c r="R79" s="284">
        <f>SUMIF(Airbus!$A:$A,'Price Table 8 Airbus'!$A79,Airbus!Q:Q)</f>
        <v>192.83888821678346</v>
      </c>
      <c r="S79" s="284">
        <f>SUMIF(Airbus!$A:$A,'Price Table 8 Airbus'!$A79,Airbus!R:R)</f>
        <v>126.03571900548555</v>
      </c>
      <c r="T79" s="284">
        <f>SUMIF(Airbus!$A:$A,'Price Table 8 Airbus'!$A79,Airbus!S:S)</f>
        <v>0</v>
      </c>
      <c r="U79" s="284">
        <f>SUMIF(Airbus!$A:$A,'Price Table 8 Airbus'!$A79,Airbus!T:T)</f>
        <v>0</v>
      </c>
      <c r="V79" s="284">
        <f>SUMIF(Airbus!$A:$A,'Price Table 8 Airbus'!$A79,Airbus!U:U)</f>
        <v>0</v>
      </c>
      <c r="W79" s="284">
        <f>SUMIF(Airbus!$A:$A,'Price Table 8 Airbus'!$A79,Airbus!V:V)</f>
        <v>0</v>
      </c>
      <c r="X79" s="284">
        <f>SUMIF(Airbus!$A:$A,'Price Table 8 Airbus'!$A79,Airbus!W:W)</f>
        <v>0</v>
      </c>
      <c r="Y79" s="284">
        <f>SUMIF(Airbus!$A:$A,'Price Table 8 Airbus'!$A79,Airbus!X:X)</f>
        <v>0</v>
      </c>
      <c r="Z79" s="28"/>
      <c r="AA79" s="28"/>
      <c r="AB79" s="28"/>
      <c r="AC79" s="28"/>
      <c r="AD79" s="28"/>
      <c r="AE79" s="28"/>
      <c r="AF79" s="28"/>
      <c r="AG79" s="28"/>
      <c r="AH79" s="115">
        <f t="shared" ref="AH79" si="7">SUM(J79:AG79)</f>
        <v>1243.8909200000005</v>
      </c>
      <c r="AI79" s="115">
        <f>SUMIF(Airbus!$A:$A,'Price Table 8 Airbus'!$A79,Airbus!V:V)</f>
        <v>0</v>
      </c>
      <c r="AJ79" s="122">
        <f>AH79/AH81</f>
        <v>0.12253957040361006</v>
      </c>
    </row>
    <row r="80" spans="1:36">
      <c r="AH80" s="115"/>
      <c r="AI80" s="115"/>
    </row>
    <row r="81" spans="5:35">
      <c r="AH81" s="115">
        <f>SUM(AH14:AH80)</f>
        <v>10150.9326</v>
      </c>
      <c r="AI81" s="115">
        <f>SUM(AI14:AI80)</f>
        <v>0</v>
      </c>
    </row>
    <row r="83" spans="5:35" ht="15.75" thickBot="1">
      <c r="AH83" s="124"/>
    </row>
    <row r="84" spans="5:35">
      <c r="E84" s="256" t="s">
        <v>12</v>
      </c>
      <c r="F84" s="257" t="s">
        <v>13</v>
      </c>
      <c r="G84" s="257" t="str">
        <f>CONCATENATE(E84,F84)</f>
        <v>MGTManpower</v>
      </c>
      <c r="H84" s="257"/>
      <c r="I84" s="274"/>
      <c r="J84" s="268">
        <f t="shared" ref="J84:S88" si="8">SUMIF($G$14:$G$79,$G84,J$14:J$79)</f>
        <v>0</v>
      </c>
      <c r="K84" s="258">
        <f t="shared" si="8"/>
        <v>0</v>
      </c>
      <c r="L84" s="258">
        <f t="shared" si="8"/>
        <v>66.055330507827207</v>
      </c>
      <c r="M84" s="258">
        <f t="shared" si="8"/>
        <v>188.73306414013012</v>
      </c>
      <c r="N84" s="258">
        <f t="shared" si="8"/>
        <v>193.26358745823552</v>
      </c>
      <c r="O84" s="258">
        <f t="shared" si="8"/>
        <v>186.34637050792486</v>
      </c>
      <c r="P84" s="258">
        <f t="shared" si="8"/>
        <v>152.12572962878949</v>
      </c>
      <c r="Q84" s="258">
        <f t="shared" si="8"/>
        <v>140.20987605836228</v>
      </c>
      <c r="R84" s="258">
        <f t="shared" si="8"/>
        <v>143.52970401879051</v>
      </c>
      <c r="S84" s="258">
        <f t="shared" si="8"/>
        <v>123.23153767994015</v>
      </c>
      <c r="T84" s="258">
        <f t="shared" ref="T84:AH88" si="9">SUMIF($G$14:$G$79,$G84,T$14:T$79)</f>
        <v>0</v>
      </c>
      <c r="U84" s="258">
        <f t="shared" si="9"/>
        <v>0</v>
      </c>
      <c r="V84" s="258">
        <f t="shared" si="9"/>
        <v>0</v>
      </c>
      <c r="W84" s="258">
        <f t="shared" si="9"/>
        <v>0</v>
      </c>
      <c r="X84" s="258">
        <f t="shared" si="9"/>
        <v>0</v>
      </c>
      <c r="Y84" s="258">
        <f t="shared" si="9"/>
        <v>0</v>
      </c>
      <c r="Z84" s="258">
        <f t="shared" si="9"/>
        <v>0</v>
      </c>
      <c r="AA84" s="258">
        <f t="shared" si="9"/>
        <v>0</v>
      </c>
      <c r="AB84" s="258">
        <f t="shared" si="9"/>
        <v>0</v>
      </c>
      <c r="AC84" s="258">
        <f t="shared" si="9"/>
        <v>0</v>
      </c>
      <c r="AD84" s="258">
        <f t="shared" si="9"/>
        <v>0</v>
      </c>
      <c r="AE84" s="258">
        <f t="shared" si="9"/>
        <v>0</v>
      </c>
      <c r="AF84" s="258">
        <f t="shared" si="9"/>
        <v>0</v>
      </c>
      <c r="AG84" s="259">
        <f t="shared" si="9"/>
        <v>0</v>
      </c>
      <c r="AH84" s="271">
        <f t="shared" si="9"/>
        <v>1193.4952000000003</v>
      </c>
    </row>
    <row r="85" spans="5:35">
      <c r="E85" s="260" t="s">
        <v>14</v>
      </c>
      <c r="F85" s="36" t="s">
        <v>13</v>
      </c>
      <c r="G85" s="36" t="str">
        <f>CONCATENATE(E85,F85)</f>
        <v>MISSIONManpower</v>
      </c>
      <c r="I85" s="275"/>
      <c r="J85" s="269">
        <f t="shared" si="8"/>
        <v>0</v>
      </c>
      <c r="K85" s="261">
        <f t="shared" si="8"/>
        <v>0</v>
      </c>
      <c r="L85" s="261">
        <f t="shared" si="8"/>
        <v>143.65023306717796</v>
      </c>
      <c r="M85" s="261">
        <f t="shared" si="8"/>
        <v>469.14471977179142</v>
      </c>
      <c r="N85" s="261">
        <f t="shared" si="8"/>
        <v>544.25420623495097</v>
      </c>
      <c r="O85" s="261">
        <f t="shared" si="8"/>
        <v>126.62021790529388</v>
      </c>
      <c r="P85" s="261">
        <f t="shared" si="8"/>
        <v>899.89421284258174</v>
      </c>
      <c r="Q85" s="261">
        <f t="shared" si="8"/>
        <v>589.76770298785937</v>
      </c>
      <c r="R85" s="261">
        <f t="shared" si="8"/>
        <v>627.82584884834318</v>
      </c>
      <c r="S85" s="261">
        <f t="shared" si="8"/>
        <v>380.91133834200195</v>
      </c>
      <c r="T85" s="261">
        <f t="shared" si="9"/>
        <v>0</v>
      </c>
      <c r="U85" s="261">
        <f t="shared" si="9"/>
        <v>0</v>
      </c>
      <c r="V85" s="261">
        <f t="shared" si="9"/>
        <v>0</v>
      </c>
      <c r="W85" s="261">
        <f t="shared" si="9"/>
        <v>0</v>
      </c>
      <c r="X85" s="261">
        <f t="shared" si="9"/>
        <v>0</v>
      </c>
      <c r="Y85" s="261">
        <f t="shared" si="9"/>
        <v>0</v>
      </c>
      <c r="Z85" s="261">
        <f t="shared" si="9"/>
        <v>0</v>
      </c>
      <c r="AA85" s="261">
        <f t="shared" si="9"/>
        <v>0</v>
      </c>
      <c r="AB85" s="261">
        <f t="shared" si="9"/>
        <v>0</v>
      </c>
      <c r="AC85" s="261">
        <f t="shared" si="9"/>
        <v>0</v>
      </c>
      <c r="AD85" s="261">
        <f t="shared" si="9"/>
        <v>0</v>
      </c>
      <c r="AE85" s="261">
        <f t="shared" si="9"/>
        <v>0</v>
      </c>
      <c r="AF85" s="261">
        <f t="shared" si="9"/>
        <v>0</v>
      </c>
      <c r="AG85" s="262">
        <f t="shared" si="9"/>
        <v>0</v>
      </c>
      <c r="AH85" s="272">
        <f t="shared" si="9"/>
        <v>3782.0684800000008</v>
      </c>
    </row>
    <row r="86" spans="5:35" ht="15.75" thickBot="1">
      <c r="E86" s="263" t="s">
        <v>139</v>
      </c>
      <c r="F86" s="264" t="s">
        <v>13</v>
      </c>
      <c r="G86" s="264" t="str">
        <f>CONCATENATE(E86,F86)</f>
        <v>TECHManpower</v>
      </c>
      <c r="H86" s="264"/>
      <c r="I86" s="276"/>
      <c r="J86" s="270">
        <f t="shared" si="8"/>
        <v>0</v>
      </c>
      <c r="K86" s="266">
        <f t="shared" si="8"/>
        <v>0</v>
      </c>
      <c r="L86" s="266">
        <f t="shared" si="8"/>
        <v>0</v>
      </c>
      <c r="M86" s="266">
        <f t="shared" si="8"/>
        <v>0</v>
      </c>
      <c r="N86" s="266">
        <f t="shared" si="8"/>
        <v>0</v>
      </c>
      <c r="O86" s="266">
        <f t="shared" si="8"/>
        <v>0</v>
      </c>
      <c r="P86" s="266">
        <f t="shared" si="8"/>
        <v>0</v>
      </c>
      <c r="Q86" s="266">
        <f t="shared" si="8"/>
        <v>0</v>
      </c>
      <c r="R86" s="266">
        <f t="shared" si="8"/>
        <v>0</v>
      </c>
      <c r="S86" s="266">
        <f t="shared" si="8"/>
        <v>0</v>
      </c>
      <c r="T86" s="266">
        <f t="shared" si="9"/>
        <v>0</v>
      </c>
      <c r="U86" s="266">
        <f t="shared" si="9"/>
        <v>0</v>
      </c>
      <c r="V86" s="266">
        <f t="shared" si="9"/>
        <v>0</v>
      </c>
      <c r="W86" s="266">
        <f t="shared" si="9"/>
        <v>0</v>
      </c>
      <c r="X86" s="266">
        <f t="shared" si="9"/>
        <v>0</v>
      </c>
      <c r="Y86" s="266">
        <f t="shared" si="9"/>
        <v>0</v>
      </c>
      <c r="Z86" s="266">
        <f t="shared" si="9"/>
        <v>0</v>
      </c>
      <c r="AA86" s="266">
        <f t="shared" si="9"/>
        <v>0</v>
      </c>
      <c r="AB86" s="266">
        <f t="shared" si="9"/>
        <v>0</v>
      </c>
      <c r="AC86" s="266">
        <f t="shared" si="9"/>
        <v>0</v>
      </c>
      <c r="AD86" s="266">
        <f t="shared" si="9"/>
        <v>0</v>
      </c>
      <c r="AE86" s="266">
        <f t="shared" si="9"/>
        <v>0</v>
      </c>
      <c r="AF86" s="266">
        <f t="shared" si="9"/>
        <v>0</v>
      </c>
      <c r="AG86" s="267">
        <f t="shared" si="9"/>
        <v>0</v>
      </c>
      <c r="AH86" s="273">
        <f t="shared" si="9"/>
        <v>0</v>
      </c>
    </row>
    <row r="87" spans="5:35">
      <c r="E87" s="260" t="s">
        <v>14</v>
      </c>
      <c r="F87" s="37" t="s">
        <v>117</v>
      </c>
      <c r="G87" s="36" t="str">
        <f>CONCATENATE(E87,F87)</f>
        <v>MISSIONProcurement</v>
      </c>
      <c r="H87" s="37"/>
      <c r="J87" s="269">
        <f t="shared" si="8"/>
        <v>0</v>
      </c>
      <c r="K87" s="261">
        <f t="shared" si="8"/>
        <v>0</v>
      </c>
      <c r="L87" s="261">
        <f t="shared" si="8"/>
        <v>136.161</v>
      </c>
      <c r="M87" s="261">
        <f t="shared" si="8"/>
        <v>1475.7329284133848</v>
      </c>
      <c r="N87" s="261">
        <f t="shared" si="8"/>
        <v>421.86088687862059</v>
      </c>
      <c r="O87" s="261">
        <f t="shared" si="8"/>
        <v>1009.4399284133849</v>
      </c>
      <c r="P87" s="261">
        <f t="shared" si="8"/>
        <v>242.43299999999999</v>
      </c>
      <c r="Q87" s="261">
        <f t="shared" si="8"/>
        <v>195.19962814730479</v>
      </c>
      <c r="R87" s="261">
        <f t="shared" si="8"/>
        <v>448.33500000000004</v>
      </c>
      <c r="S87" s="261">
        <f t="shared" si="8"/>
        <v>2.3156281473048126</v>
      </c>
      <c r="T87" s="261">
        <f t="shared" si="9"/>
        <v>0</v>
      </c>
      <c r="U87" s="261">
        <f t="shared" si="9"/>
        <v>0</v>
      </c>
      <c r="V87" s="261">
        <f t="shared" si="9"/>
        <v>0</v>
      </c>
      <c r="W87" s="261">
        <f t="shared" si="9"/>
        <v>0</v>
      </c>
      <c r="X87" s="261">
        <f t="shared" si="9"/>
        <v>0</v>
      </c>
      <c r="Y87" s="261">
        <f t="shared" si="9"/>
        <v>0</v>
      </c>
      <c r="Z87" s="261">
        <f t="shared" si="9"/>
        <v>0</v>
      </c>
      <c r="AA87" s="261">
        <f t="shared" si="9"/>
        <v>0</v>
      </c>
      <c r="AB87" s="261">
        <f t="shared" si="9"/>
        <v>0</v>
      </c>
      <c r="AC87" s="261">
        <f t="shared" si="9"/>
        <v>0</v>
      </c>
      <c r="AD87" s="261">
        <f t="shared" si="9"/>
        <v>0</v>
      </c>
      <c r="AE87" s="261">
        <f t="shared" si="9"/>
        <v>0</v>
      </c>
      <c r="AF87" s="261">
        <f t="shared" si="9"/>
        <v>0</v>
      </c>
      <c r="AG87" s="262">
        <f t="shared" si="9"/>
        <v>0</v>
      </c>
      <c r="AH87" s="262">
        <f t="shared" si="9"/>
        <v>3931.4780000000001</v>
      </c>
    </row>
    <row r="88" spans="5:35" ht="15.75" thickBot="1">
      <c r="E88" s="263" t="s">
        <v>139</v>
      </c>
      <c r="F88" s="264" t="s">
        <v>117</v>
      </c>
      <c r="G88" s="264" t="str">
        <f>CONCATENATE(E88,F88)</f>
        <v>TECHProcurement</v>
      </c>
      <c r="H88" s="264"/>
      <c r="I88" s="265"/>
      <c r="J88" s="270">
        <f t="shared" si="8"/>
        <v>0</v>
      </c>
      <c r="K88" s="266">
        <f t="shared" si="8"/>
        <v>0</v>
      </c>
      <c r="L88" s="266">
        <f t="shared" si="8"/>
        <v>0</v>
      </c>
      <c r="M88" s="266">
        <f t="shared" si="8"/>
        <v>0</v>
      </c>
      <c r="N88" s="266">
        <f t="shared" si="8"/>
        <v>0</v>
      </c>
      <c r="O88" s="266">
        <f t="shared" si="8"/>
        <v>0</v>
      </c>
      <c r="P88" s="266">
        <f t="shared" si="8"/>
        <v>0</v>
      </c>
      <c r="Q88" s="266">
        <f t="shared" si="8"/>
        <v>0</v>
      </c>
      <c r="R88" s="266">
        <f t="shared" si="8"/>
        <v>0</v>
      </c>
      <c r="S88" s="266">
        <f t="shared" si="8"/>
        <v>0</v>
      </c>
      <c r="T88" s="266">
        <f t="shared" si="9"/>
        <v>0</v>
      </c>
      <c r="U88" s="266">
        <f t="shared" si="9"/>
        <v>0</v>
      </c>
      <c r="V88" s="266">
        <f t="shared" si="9"/>
        <v>0</v>
      </c>
      <c r="W88" s="266">
        <f t="shared" si="9"/>
        <v>0</v>
      </c>
      <c r="X88" s="266">
        <f t="shared" si="9"/>
        <v>0</v>
      </c>
      <c r="Y88" s="266">
        <f t="shared" si="9"/>
        <v>0</v>
      </c>
      <c r="Z88" s="266">
        <f t="shared" si="9"/>
        <v>0</v>
      </c>
      <c r="AA88" s="266">
        <f t="shared" si="9"/>
        <v>0</v>
      </c>
      <c r="AB88" s="266">
        <f t="shared" si="9"/>
        <v>0</v>
      </c>
      <c r="AC88" s="266">
        <f t="shared" si="9"/>
        <v>0</v>
      </c>
      <c r="AD88" s="266">
        <f t="shared" si="9"/>
        <v>0</v>
      </c>
      <c r="AE88" s="266">
        <f t="shared" si="9"/>
        <v>0</v>
      </c>
      <c r="AF88" s="266">
        <f t="shared" si="9"/>
        <v>0</v>
      </c>
      <c r="AG88" s="267">
        <f t="shared" si="9"/>
        <v>0</v>
      </c>
      <c r="AH88" s="267">
        <f t="shared" si="9"/>
        <v>0</v>
      </c>
    </row>
    <row r="89" spans="5:35">
      <c r="AH89" s="124"/>
    </row>
    <row r="90" spans="5:35">
      <c r="J90" s="124">
        <f t="shared" ref="J90:AH90" si="10">SUM(J84:J88)</f>
        <v>0</v>
      </c>
      <c r="K90" s="124">
        <f t="shared" si="10"/>
        <v>0</v>
      </c>
      <c r="L90" s="124">
        <f t="shared" si="10"/>
        <v>345.86656357500516</v>
      </c>
      <c r="M90" s="124">
        <f t="shared" si="10"/>
        <v>2133.6107123253064</v>
      </c>
      <c r="N90" s="124">
        <f t="shared" si="10"/>
        <v>1159.3786805718071</v>
      </c>
      <c r="O90" s="124">
        <f t="shared" si="10"/>
        <v>1322.4065168266036</v>
      </c>
      <c r="P90" s="124">
        <f t="shared" si="10"/>
        <v>1294.4529424713712</v>
      </c>
      <c r="Q90" s="124">
        <f t="shared" si="10"/>
        <v>925.17720719352644</v>
      </c>
      <c r="R90" s="124">
        <f t="shared" si="10"/>
        <v>1219.6905528671336</v>
      </c>
      <c r="S90" s="124">
        <f t="shared" si="10"/>
        <v>506.45850416924696</v>
      </c>
      <c r="T90" s="124">
        <f t="shared" si="10"/>
        <v>0</v>
      </c>
      <c r="U90" s="124">
        <f t="shared" si="10"/>
        <v>0</v>
      </c>
      <c r="V90" s="124">
        <f t="shared" si="10"/>
        <v>0</v>
      </c>
      <c r="W90" s="124">
        <f t="shared" si="10"/>
        <v>0</v>
      </c>
      <c r="X90" s="124">
        <f t="shared" si="10"/>
        <v>0</v>
      </c>
      <c r="Y90" s="124">
        <f t="shared" si="10"/>
        <v>0</v>
      </c>
      <c r="Z90" s="124">
        <f t="shared" si="10"/>
        <v>0</v>
      </c>
      <c r="AA90" s="124">
        <f t="shared" si="10"/>
        <v>0</v>
      </c>
      <c r="AB90" s="124">
        <f t="shared" si="10"/>
        <v>0</v>
      </c>
      <c r="AC90" s="124">
        <f t="shared" si="10"/>
        <v>0</v>
      </c>
      <c r="AD90" s="124">
        <f t="shared" si="10"/>
        <v>0</v>
      </c>
      <c r="AE90" s="124">
        <f t="shared" si="10"/>
        <v>0</v>
      </c>
      <c r="AF90" s="124">
        <f t="shared" si="10"/>
        <v>0</v>
      </c>
      <c r="AG90" s="124">
        <f t="shared" si="10"/>
        <v>0</v>
      </c>
      <c r="AH90" s="124">
        <f t="shared" si="10"/>
        <v>8907.0416800000021</v>
      </c>
    </row>
    <row r="92" spans="5:35">
      <c r="J92" s="552"/>
      <c r="K92" s="552"/>
      <c r="L92" s="552">
        <v>398.29295446875648</v>
      </c>
      <c r="M92" s="552">
        <v>2298.0801583032871</v>
      </c>
      <c r="N92" s="552">
        <v>1343.7581289951038</v>
      </c>
      <c r="O92" s="552">
        <v>1400.6481639299084</v>
      </c>
      <c r="P92" s="552">
        <v>1557.457928089214</v>
      </c>
      <c r="Q92" s="552">
        <v>1107.6716019550818</v>
      </c>
      <c r="R92" s="552">
        <v>1412.5294410839172</v>
      </c>
      <c r="S92" s="552">
        <v>632.4942231747325</v>
      </c>
      <c r="T92" s="124"/>
      <c r="U92" s="124"/>
      <c r="V92" s="124"/>
      <c r="W92" s="124"/>
      <c r="X92" s="124"/>
      <c r="Y92" s="124"/>
      <c r="Z92" s="124"/>
      <c r="AA92" s="124"/>
      <c r="AB92" s="124"/>
      <c r="AC92" s="124"/>
      <c r="AD92" s="124"/>
      <c r="AE92" s="124"/>
      <c r="AF92" s="124"/>
      <c r="AG92" s="124"/>
      <c r="AH92" s="124">
        <f>SUM(J92:AG92)</f>
        <v>10150.9326</v>
      </c>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sheetPr>
  <dimension ref="A1:X134"/>
  <sheetViews>
    <sheetView topLeftCell="A51" zoomScale="130" zoomScaleNormal="130" workbookViewId="0">
      <selection activeCell="O73" sqref="O73"/>
    </sheetView>
  </sheetViews>
  <sheetFormatPr defaultColWidth="8.85546875" defaultRowHeight="15" outlineLevelRow="1"/>
  <cols>
    <col min="1" max="1" width="4.85546875" customWidth="1"/>
    <col min="2" max="2" width="29.140625" customWidth="1"/>
    <col min="3" max="3" width="7.85546875" customWidth="1"/>
    <col min="4" max="4" width="10.85546875" customWidth="1"/>
    <col min="5" max="5" width="8.7109375" customWidth="1"/>
    <col min="6" max="6" width="6.42578125" customWidth="1"/>
    <col min="7" max="8" width="23.7109375" customWidth="1"/>
    <col min="9" max="9" width="12.42578125" bestFit="1" customWidth="1"/>
    <col min="10" max="10" width="11.28515625" bestFit="1" customWidth="1"/>
    <col min="11" max="11" width="14" bestFit="1" customWidth="1"/>
    <col min="12" max="12" width="12.42578125" bestFit="1" customWidth="1"/>
    <col min="13" max="14" width="11.140625" bestFit="1" customWidth="1"/>
  </cols>
  <sheetData>
    <row r="1" spans="1:24">
      <c r="D1" t="s">
        <v>644</v>
      </c>
    </row>
    <row r="4" spans="1:24" s="430" customFormat="1" ht="12.75">
      <c r="F4" s="431" t="s">
        <v>529</v>
      </c>
      <c r="L4" s="432"/>
    </row>
    <row r="5" spans="1:24" s="430" customFormat="1" ht="12.75">
      <c r="F5" s="433" t="s">
        <v>530</v>
      </c>
      <c r="G5" s="434">
        <v>2019</v>
      </c>
      <c r="H5" s="435"/>
    </row>
    <row r="6" spans="1:24" s="430" customFormat="1" ht="12.75">
      <c r="F6" s="433" t="s">
        <v>531</v>
      </c>
      <c r="G6" s="436" t="s">
        <v>532</v>
      </c>
      <c r="H6" s="435"/>
      <c r="J6" s="430" t="s">
        <v>554</v>
      </c>
    </row>
    <row r="7" spans="1:24" s="430" customFormat="1" ht="12.75">
      <c r="I7" s="437" t="s">
        <v>645</v>
      </c>
      <c r="J7" s="438" t="s">
        <v>646</v>
      </c>
      <c r="K7" s="439" t="s">
        <v>647</v>
      </c>
      <c r="L7" s="440" t="s">
        <v>648</v>
      </c>
      <c r="M7" s="440" t="s">
        <v>649</v>
      </c>
      <c r="N7" s="441" t="s">
        <v>650</v>
      </c>
      <c r="O7" s="440" t="s">
        <v>651</v>
      </c>
      <c r="P7" s="442" t="s">
        <v>652</v>
      </c>
      <c r="Q7" s="442" t="s">
        <v>653</v>
      </c>
      <c r="R7" s="442" t="s">
        <v>654</v>
      </c>
      <c r="S7" s="442" t="s">
        <v>655</v>
      </c>
      <c r="T7" s="439" t="s">
        <v>656</v>
      </c>
      <c r="U7" s="439" t="s">
        <v>657</v>
      </c>
    </row>
    <row r="8" spans="1:24" s="430" customFormat="1" ht="12.75">
      <c r="F8" s="430" t="s">
        <v>658</v>
      </c>
      <c r="I8" s="443"/>
      <c r="J8" s="444"/>
      <c r="K8" s="445"/>
      <c r="L8" s="445"/>
      <c r="M8" s="445"/>
      <c r="N8" s="445"/>
      <c r="O8" s="445"/>
      <c r="P8" s="445"/>
      <c r="Q8" s="445"/>
      <c r="R8" s="445"/>
      <c r="S8" s="445"/>
      <c r="T8" s="445"/>
      <c r="U8" s="445"/>
    </row>
    <row r="9" spans="1:24" s="446" customFormat="1" ht="15.75" thickBot="1">
      <c r="I9" s="447" t="s">
        <v>659</v>
      </c>
      <c r="J9" s="448"/>
      <c r="K9" s="439" t="s">
        <v>648</v>
      </c>
      <c r="L9" s="440" t="s">
        <v>649</v>
      </c>
      <c r="M9" s="441" t="s">
        <v>650</v>
      </c>
      <c r="N9" s="440" t="s">
        <v>651</v>
      </c>
      <c r="O9" s="440" t="s">
        <v>652</v>
      </c>
      <c r="P9" s="440" t="s">
        <v>653</v>
      </c>
      <c r="Q9" s="441" t="s">
        <v>654</v>
      </c>
      <c r="R9" s="442" t="s">
        <v>655</v>
      </c>
      <c r="S9" s="442" t="s">
        <v>656</v>
      </c>
      <c r="T9" s="442" t="s">
        <v>657</v>
      </c>
      <c r="U9" s="442" t="s">
        <v>660</v>
      </c>
      <c r="V9" s="430"/>
      <c r="W9" s="430"/>
      <c r="X9" s="430"/>
    </row>
    <row r="10" spans="1:24" s="430" customFormat="1" ht="64.5" thickBot="1">
      <c r="A10" s="430" t="s">
        <v>22</v>
      </c>
      <c r="B10" s="430" t="s">
        <v>661</v>
      </c>
      <c r="C10" s="449" t="s">
        <v>662</v>
      </c>
      <c r="D10" s="449" t="s">
        <v>544</v>
      </c>
      <c r="E10" s="450" t="s">
        <v>663</v>
      </c>
      <c r="F10" s="635" t="s">
        <v>542</v>
      </c>
      <c r="G10" s="636"/>
      <c r="H10" s="636"/>
      <c r="I10" s="451" t="s">
        <v>664</v>
      </c>
      <c r="J10" s="452"/>
      <c r="K10" s="453" t="s">
        <v>665</v>
      </c>
      <c r="L10" s="453"/>
      <c r="M10" s="453" t="s">
        <v>666</v>
      </c>
      <c r="N10" s="453"/>
      <c r="O10" s="453" t="s">
        <v>665</v>
      </c>
      <c r="P10" s="453"/>
      <c r="Q10" s="453" t="s">
        <v>666</v>
      </c>
      <c r="R10" s="453"/>
      <c r="S10" s="453" t="s">
        <v>665</v>
      </c>
      <c r="T10" s="453"/>
      <c r="U10" s="453" t="s">
        <v>666</v>
      </c>
    </row>
    <row r="11" spans="1:24" s="430" customFormat="1" ht="15.75" thickBot="1">
      <c r="F11" s="454" t="s">
        <v>552</v>
      </c>
      <c r="G11" s="455"/>
      <c r="H11" s="455"/>
      <c r="I11" s="456">
        <f>SUM(J11:U11)</f>
        <v>10196467</v>
      </c>
      <c r="J11" s="457"/>
      <c r="K11" s="458">
        <f t="shared" ref="K11:R11" si="0">SUM(K12,K27)</f>
        <v>401744</v>
      </c>
      <c r="L11" s="458">
        <f t="shared" si="0"/>
        <v>2310138</v>
      </c>
      <c r="M11" s="458">
        <f t="shared" si="0"/>
        <v>1359215</v>
      </c>
      <c r="N11" s="458">
        <f t="shared" si="0"/>
        <v>1399435</v>
      </c>
      <c r="O11" s="458">
        <f t="shared" si="0"/>
        <v>1580054</v>
      </c>
      <c r="P11" s="458">
        <f t="shared" si="0"/>
        <v>1105953</v>
      </c>
      <c r="Q11" s="458">
        <f t="shared" si="0"/>
        <v>1406678</v>
      </c>
      <c r="R11" s="458">
        <f t="shared" si="0"/>
        <v>633250</v>
      </c>
      <c r="S11" s="458">
        <v>0</v>
      </c>
      <c r="T11" s="458">
        <f>SUM(T12,T27)</f>
        <v>0</v>
      </c>
      <c r="U11" s="459">
        <f>SUM(U12,U27)</f>
        <v>0</v>
      </c>
    </row>
    <row r="12" spans="1:24" s="430" customFormat="1" ht="12.75">
      <c r="F12" s="460" t="s">
        <v>556</v>
      </c>
      <c r="G12" s="432"/>
      <c r="H12" s="432"/>
      <c r="I12" s="461">
        <f t="shared" ref="I12:I24" si="1">SUM(J12:U12)</f>
        <v>7036989</v>
      </c>
      <c r="J12" s="462"/>
      <c r="K12" s="463">
        <f>SUM(K13:K24)-SUM(K17:K23)+K26</f>
        <v>265583</v>
      </c>
      <c r="L12" s="463">
        <f t="shared" ref="L12:R12" si="2">SUM(L13:L24)-SUM(L17:L23)+L26</f>
        <v>1053653</v>
      </c>
      <c r="M12" s="463">
        <f t="shared" si="2"/>
        <v>1266227</v>
      </c>
      <c r="N12" s="463">
        <f t="shared" si="2"/>
        <v>609243</v>
      </c>
      <c r="O12" s="463">
        <f t="shared" si="2"/>
        <v>1337621</v>
      </c>
      <c r="P12" s="463">
        <f t="shared" si="2"/>
        <v>913069</v>
      </c>
      <c r="Q12" s="463">
        <f t="shared" si="2"/>
        <v>958343</v>
      </c>
      <c r="R12" s="463">
        <f t="shared" si="2"/>
        <v>633250</v>
      </c>
      <c r="S12" s="463">
        <v>0</v>
      </c>
      <c r="T12" s="463">
        <f>SUM(T13:T26)</f>
        <v>0</v>
      </c>
      <c r="U12" s="464">
        <f>SUM(U13:U26)</f>
        <v>0</v>
      </c>
    </row>
    <row r="13" spans="1:24" s="430" customFormat="1">
      <c r="E13" s="465"/>
      <c r="F13" s="466" t="s">
        <v>667</v>
      </c>
      <c r="G13" s="432"/>
      <c r="H13" s="432"/>
      <c r="I13" s="467">
        <f t="shared" si="1"/>
        <v>0</v>
      </c>
      <c r="J13" s="468"/>
      <c r="K13" s="469"/>
      <c r="L13" s="469"/>
      <c r="M13" s="469">
        <v>0</v>
      </c>
      <c r="N13" s="469"/>
      <c r="O13" s="469"/>
      <c r="P13" s="469"/>
      <c r="Q13" s="469"/>
      <c r="R13" s="469"/>
      <c r="S13" s="469">
        <v>0</v>
      </c>
      <c r="T13" s="469"/>
      <c r="U13" s="470"/>
    </row>
    <row r="14" spans="1:24" s="430" customFormat="1">
      <c r="E14" s="471">
        <v>110400.1</v>
      </c>
      <c r="F14" s="466"/>
      <c r="G14" s="432" t="s">
        <v>558</v>
      </c>
      <c r="H14" s="432"/>
      <c r="I14" s="467">
        <f t="shared" si="1"/>
        <v>1077331</v>
      </c>
      <c r="J14" s="468"/>
      <c r="K14" s="469">
        <v>51735</v>
      </c>
      <c r="L14" s="469">
        <v>146227</v>
      </c>
      <c r="M14" s="469">
        <v>149648</v>
      </c>
      <c r="N14" s="469">
        <v>149648</v>
      </c>
      <c r="O14" s="469">
        <v>149648</v>
      </c>
      <c r="P14" s="469">
        <v>149648</v>
      </c>
      <c r="Q14" s="469">
        <v>153157</v>
      </c>
      <c r="R14" s="469">
        <v>127620</v>
      </c>
      <c r="S14" s="469">
        <v>0</v>
      </c>
      <c r="T14" s="469"/>
      <c r="U14" s="470"/>
      <c r="V14" s="512">
        <f>SUM(K14:U14)</f>
        <v>1077331</v>
      </c>
    </row>
    <row r="15" spans="1:24" s="430" customFormat="1">
      <c r="E15" s="471">
        <v>130400.1</v>
      </c>
      <c r="F15" s="466"/>
      <c r="G15" s="432" t="s">
        <v>559</v>
      </c>
      <c r="H15" s="432"/>
      <c r="I15" s="467">
        <f t="shared" si="1"/>
        <v>424417</v>
      </c>
      <c r="J15" s="468"/>
      <c r="K15" s="469">
        <v>31385</v>
      </c>
      <c r="L15" s="469">
        <v>91264</v>
      </c>
      <c r="M15" s="469">
        <v>93544</v>
      </c>
      <c r="N15" s="469">
        <v>84837</v>
      </c>
      <c r="O15" s="469">
        <v>41762</v>
      </c>
      <c r="P15" s="469">
        <v>26763</v>
      </c>
      <c r="Q15" s="469">
        <v>27431</v>
      </c>
      <c r="R15" s="469">
        <v>27431</v>
      </c>
      <c r="S15" s="469">
        <v>0</v>
      </c>
      <c r="T15" s="469"/>
      <c r="U15" s="470"/>
      <c r="V15" s="512">
        <f>SUM(K15:U15)</f>
        <v>424417</v>
      </c>
    </row>
    <row r="16" spans="1:24" s="430" customFormat="1">
      <c r="E16" s="471" t="s">
        <v>668</v>
      </c>
      <c r="F16" s="466" t="s">
        <v>464</v>
      </c>
      <c r="G16" s="432" t="s">
        <v>669</v>
      </c>
      <c r="H16" s="432"/>
      <c r="I16" s="467">
        <f t="shared" si="1"/>
        <v>3328593</v>
      </c>
      <c r="J16" s="468"/>
      <c r="K16" s="469">
        <f>K17+K18+K20+K22</f>
        <v>152949</v>
      </c>
      <c r="L16" s="469">
        <f t="shared" ref="L16:R16" si="3">L17+L18+L20+L22</f>
        <v>495576</v>
      </c>
      <c r="M16" s="469">
        <f t="shared" si="3"/>
        <v>594284</v>
      </c>
      <c r="N16" s="469">
        <f t="shared" si="3"/>
        <v>32954</v>
      </c>
      <c r="O16" s="469">
        <f t="shared" si="3"/>
        <v>1007239</v>
      </c>
      <c r="P16" s="469">
        <f t="shared" si="3"/>
        <v>399288</v>
      </c>
      <c r="Q16" s="469">
        <f t="shared" si="3"/>
        <v>363810</v>
      </c>
      <c r="R16" s="469">
        <f t="shared" si="3"/>
        <v>282493</v>
      </c>
      <c r="S16" s="469">
        <v>0</v>
      </c>
      <c r="T16" s="469"/>
      <c r="U16" s="470"/>
      <c r="V16" s="512">
        <f>SUM(K16:U16)</f>
        <v>3328593</v>
      </c>
    </row>
    <row r="17" spans="2:23" s="430" customFormat="1" ht="15.75" outlineLevel="1">
      <c r="E17" s="471">
        <v>12</v>
      </c>
      <c r="F17" s="466"/>
      <c r="G17" s="432"/>
      <c r="H17" s="432"/>
      <c r="I17" s="467"/>
      <c r="J17" s="468"/>
      <c r="K17" s="472">
        <v>111729</v>
      </c>
      <c r="L17" s="472">
        <v>348688</v>
      </c>
      <c r="M17" s="472">
        <v>362033</v>
      </c>
      <c r="N17" s="472">
        <v>507005</v>
      </c>
      <c r="O17" s="472">
        <v>152537</v>
      </c>
      <c r="P17" s="472">
        <v>152537</v>
      </c>
      <c r="Q17" s="472">
        <v>156351</v>
      </c>
      <c r="R17" s="472">
        <v>133524</v>
      </c>
      <c r="S17" s="469"/>
      <c r="T17" s="469"/>
      <c r="U17" s="470"/>
      <c r="V17" s="512">
        <f>SUM(K17:U17)</f>
        <v>1924404</v>
      </c>
      <c r="W17" s="513">
        <f>V17/$V$16</f>
        <v>0.57814337769742352</v>
      </c>
    </row>
    <row r="18" spans="2:23" s="430" customFormat="1" ht="15.75" outlineLevel="1">
      <c r="E18" s="471">
        <v>42</v>
      </c>
      <c r="F18" s="466"/>
      <c r="G18" s="432"/>
      <c r="H18" s="432"/>
      <c r="I18" s="467"/>
      <c r="J18" s="468"/>
      <c r="K18" s="472">
        <f>K19-SUM(K34:K35)</f>
        <v>21170</v>
      </c>
      <c r="L18" s="472">
        <f t="shared" ref="L18:R18" si="4">L19-SUM(L34:L35)</f>
        <v>190942</v>
      </c>
      <c r="M18" s="472">
        <f t="shared" si="4"/>
        <v>63911</v>
      </c>
      <c r="N18" s="472">
        <f t="shared" si="4"/>
        <v>59362</v>
      </c>
      <c r="O18" s="472">
        <f t="shared" si="4"/>
        <v>57088</v>
      </c>
      <c r="P18" s="472">
        <f t="shared" si="4"/>
        <v>249971</v>
      </c>
      <c r="Q18" s="472">
        <f t="shared" si="4"/>
        <v>58516</v>
      </c>
      <c r="R18" s="472">
        <f t="shared" si="4"/>
        <v>39011</v>
      </c>
      <c r="S18" s="469"/>
      <c r="T18" s="469"/>
      <c r="U18" s="470"/>
      <c r="V18" s="512">
        <f>SUM(K18:U18)</f>
        <v>739971</v>
      </c>
      <c r="W18" s="513">
        <f>V18/$V$16</f>
        <v>0.22230744341528086</v>
      </c>
    </row>
    <row r="19" spans="2:23" s="430" customFormat="1" outlineLevel="1">
      <c r="B19" s="512">
        <f>SUM(I14:I24)</f>
        <v>6260531</v>
      </c>
      <c r="E19" s="471" t="s">
        <v>670</v>
      </c>
      <c r="F19" s="466"/>
      <c r="G19" s="432"/>
      <c r="H19" s="432"/>
      <c r="I19" s="467"/>
      <c r="J19" s="468"/>
      <c r="K19" s="473">
        <v>21170</v>
      </c>
      <c r="L19" s="473">
        <v>217510</v>
      </c>
      <c r="M19" s="473">
        <v>63911</v>
      </c>
      <c r="N19" s="473">
        <v>99214</v>
      </c>
      <c r="O19" s="473">
        <v>163360</v>
      </c>
      <c r="P19" s="473">
        <v>249971</v>
      </c>
      <c r="Q19" s="473">
        <v>217924</v>
      </c>
      <c r="R19" s="473">
        <v>39011</v>
      </c>
      <c r="S19" s="469"/>
      <c r="T19" s="469"/>
      <c r="U19" s="470"/>
    </row>
    <row r="20" spans="2:23" s="430" customFormat="1" ht="15.75" outlineLevel="1">
      <c r="B20" s="513"/>
      <c r="E20" s="471" t="s">
        <v>671</v>
      </c>
      <c r="F20" s="466"/>
      <c r="G20" s="432"/>
      <c r="H20" s="432"/>
      <c r="I20" s="467"/>
      <c r="J20" s="468"/>
      <c r="K20" s="472">
        <f>K21-SUM(K30:K33)</f>
        <v>11190</v>
      </c>
      <c r="L20" s="472">
        <f t="shared" ref="L20:R20" si="5">L21-SUM(L30:L33)</f>
        <v>-70939</v>
      </c>
      <c r="M20" s="472">
        <f t="shared" si="5"/>
        <v>140783</v>
      </c>
      <c r="N20" s="472">
        <f t="shared" si="5"/>
        <v>-556421</v>
      </c>
      <c r="O20" s="472">
        <f t="shared" si="5"/>
        <v>776881</v>
      </c>
      <c r="P20" s="472">
        <f t="shared" si="5"/>
        <v>-30847</v>
      </c>
      <c r="Q20" s="472">
        <f t="shared" si="5"/>
        <v>117073</v>
      </c>
      <c r="R20" s="472">
        <f t="shared" si="5"/>
        <v>88711</v>
      </c>
      <c r="S20" s="469"/>
      <c r="T20" s="469"/>
      <c r="U20" s="470"/>
      <c r="V20" s="512">
        <f>SUM(K20:U20)</f>
        <v>476431</v>
      </c>
      <c r="W20" s="513">
        <f>V20/$V$16</f>
        <v>0.1431328492248827</v>
      </c>
    </row>
    <row r="21" spans="2:23" s="430" customFormat="1" outlineLevel="1">
      <c r="E21" s="471" t="s">
        <v>672</v>
      </c>
      <c r="F21" s="466"/>
      <c r="G21" s="432"/>
      <c r="H21" s="432"/>
      <c r="I21" s="467"/>
      <c r="J21" s="468"/>
      <c r="K21" s="473">
        <v>147351</v>
      </c>
      <c r="L21" s="473">
        <v>803631</v>
      </c>
      <c r="M21" s="473">
        <v>140783</v>
      </c>
      <c r="N21" s="473">
        <v>154067</v>
      </c>
      <c r="O21" s="473">
        <v>913042</v>
      </c>
      <c r="P21" s="473">
        <v>162037</v>
      </c>
      <c r="Q21" s="473">
        <v>117073</v>
      </c>
      <c r="R21" s="473">
        <v>88711</v>
      </c>
      <c r="S21" s="469"/>
      <c r="T21" s="469"/>
      <c r="U21" s="470"/>
    </row>
    <row r="22" spans="2:23" s="430" customFormat="1" ht="15.75" outlineLevel="1">
      <c r="E22" s="471" t="s">
        <v>673</v>
      </c>
      <c r="F22" s="466"/>
      <c r="G22" s="432"/>
      <c r="H22" s="432"/>
      <c r="I22" s="467"/>
      <c r="J22" s="468"/>
      <c r="K22" s="472">
        <f>K23-K36</f>
        <v>8860</v>
      </c>
      <c r="L22" s="472">
        <f t="shared" ref="L22:R22" si="6">L23-L36</f>
        <v>26885</v>
      </c>
      <c r="M22" s="472">
        <f t="shared" si="6"/>
        <v>27557</v>
      </c>
      <c r="N22" s="472">
        <f t="shared" si="6"/>
        <v>23008</v>
      </c>
      <c r="O22" s="472">
        <f t="shared" si="6"/>
        <v>20733</v>
      </c>
      <c r="P22" s="472">
        <f t="shared" si="6"/>
        <v>27627</v>
      </c>
      <c r="Q22" s="472">
        <f t="shared" si="6"/>
        <v>31870</v>
      </c>
      <c r="R22" s="472">
        <f t="shared" si="6"/>
        <v>21247</v>
      </c>
      <c r="S22" s="469"/>
      <c r="T22" s="469"/>
      <c r="U22" s="470"/>
      <c r="V22" s="512">
        <f>SUM(K22:U22)</f>
        <v>187787</v>
      </c>
      <c r="W22" s="513">
        <f>V22/$V$16</f>
        <v>5.6416329662412917E-2</v>
      </c>
    </row>
    <row r="23" spans="2:23" s="430" customFormat="1" outlineLevel="1">
      <c r="E23" s="471" t="s">
        <v>674</v>
      </c>
      <c r="F23" s="466"/>
      <c r="G23" s="432"/>
      <c r="H23" s="432"/>
      <c r="I23" s="467"/>
      <c r="J23" s="468"/>
      <c r="K23" s="474">
        <v>8860</v>
      </c>
      <c r="L23" s="474">
        <v>315812</v>
      </c>
      <c r="M23" s="474">
        <v>27557</v>
      </c>
      <c r="N23" s="474">
        <v>23008</v>
      </c>
      <c r="O23" s="474">
        <v>20733</v>
      </c>
      <c r="P23" s="474">
        <v>27627</v>
      </c>
      <c r="Q23" s="474">
        <v>320797</v>
      </c>
      <c r="R23" s="474">
        <v>21247</v>
      </c>
      <c r="S23" s="469"/>
      <c r="T23" s="469"/>
      <c r="U23" s="470"/>
    </row>
    <row r="24" spans="2:23" s="430" customFormat="1">
      <c r="E24" s="471" t="s">
        <v>675</v>
      </c>
      <c r="F24" s="466" t="s">
        <v>676</v>
      </c>
      <c r="G24" s="432"/>
      <c r="H24" s="432"/>
      <c r="I24" s="467">
        <f t="shared" si="1"/>
        <v>1430190</v>
      </c>
      <c r="J24" s="468"/>
      <c r="K24" s="469">
        <f>K25-K26-K37-K38</f>
        <v>29514</v>
      </c>
      <c r="L24" s="469">
        <f t="shared" ref="L24:R24" si="7">L25-L26-L37-L38</f>
        <v>100072</v>
      </c>
      <c r="M24" s="469">
        <f t="shared" si="7"/>
        <v>97979</v>
      </c>
      <c r="N24" s="469">
        <f t="shared" si="7"/>
        <v>121290</v>
      </c>
      <c r="O24" s="469">
        <f t="shared" si="7"/>
        <v>138972</v>
      </c>
      <c r="P24" s="469">
        <f t="shared" si="7"/>
        <v>335041</v>
      </c>
      <c r="Q24" s="469">
        <f t="shared" si="7"/>
        <v>413945</v>
      </c>
      <c r="R24" s="469">
        <f t="shared" si="7"/>
        <v>193377</v>
      </c>
      <c r="S24" s="469">
        <v>0</v>
      </c>
      <c r="T24" s="469"/>
      <c r="U24" s="470"/>
      <c r="V24" s="512">
        <f>SUM(K24:U24)</f>
        <v>1430190</v>
      </c>
    </row>
    <row r="25" spans="2:23" s="430" customFormat="1" outlineLevel="1">
      <c r="E25" s="471" t="s">
        <v>677</v>
      </c>
      <c r="F25" s="466"/>
      <c r="G25" s="432"/>
      <c r="H25" s="432"/>
      <c r="I25" s="475"/>
      <c r="J25" s="476"/>
      <c r="K25" s="477">
        <v>29514</v>
      </c>
      <c r="L25" s="478">
        <v>387006</v>
      </c>
      <c r="M25" s="478">
        <v>521739</v>
      </c>
      <c r="N25" s="478">
        <v>381656</v>
      </c>
      <c r="O25" s="478">
        <v>138972</v>
      </c>
      <c r="P25" s="478">
        <v>337370</v>
      </c>
      <c r="Q25" s="478">
        <v>413945</v>
      </c>
      <c r="R25" s="478">
        <v>195706</v>
      </c>
      <c r="S25" s="479"/>
      <c r="T25" s="479"/>
      <c r="U25" s="480"/>
    </row>
    <row r="26" spans="2:23" s="430" customFormat="1" ht="15.75" thickBot="1">
      <c r="E26" s="471" t="s">
        <v>675</v>
      </c>
      <c r="F26" s="481" t="s">
        <v>678</v>
      </c>
      <c r="G26" s="482"/>
      <c r="H26" s="482"/>
      <c r="I26" s="483">
        <f t="shared" ref="I26:I39" si="8">SUM(J26:U26)</f>
        <v>776458</v>
      </c>
      <c r="J26" s="484"/>
      <c r="K26" s="485"/>
      <c r="L26" s="486">
        <v>220514</v>
      </c>
      <c r="M26" s="486">
        <f>330772</f>
        <v>330772</v>
      </c>
      <c r="N26" s="486">
        <v>220514</v>
      </c>
      <c r="O26" s="487">
        <v>0</v>
      </c>
      <c r="P26" s="487">
        <f>N120</f>
        <v>2329</v>
      </c>
      <c r="Q26" s="487"/>
      <c r="R26" s="487">
        <f>O120</f>
        <v>2329</v>
      </c>
      <c r="S26" s="487"/>
      <c r="T26" s="487"/>
      <c r="U26" s="488"/>
      <c r="V26" s="512">
        <f>SUM(K26:U26)</f>
        <v>776458</v>
      </c>
    </row>
    <row r="27" spans="2:23" s="430" customFormat="1">
      <c r="E27" s="471"/>
      <c r="F27" s="489" t="s">
        <v>570</v>
      </c>
      <c r="G27" s="490"/>
      <c r="H27" s="490"/>
      <c r="I27" s="491">
        <f t="shared" si="8"/>
        <v>3159478</v>
      </c>
      <c r="J27" s="492"/>
      <c r="K27" s="493">
        <f>SUM(K28:K38)</f>
        <v>136161</v>
      </c>
      <c r="L27" s="493">
        <f t="shared" ref="L27:U27" si="9">SUM(L28:L38)</f>
        <v>1256485</v>
      </c>
      <c r="M27" s="493">
        <f t="shared" si="9"/>
        <v>92988</v>
      </c>
      <c r="N27" s="493">
        <f t="shared" si="9"/>
        <v>790192</v>
      </c>
      <c r="O27" s="493">
        <f t="shared" si="9"/>
        <v>242433</v>
      </c>
      <c r="P27" s="493">
        <f t="shared" si="9"/>
        <v>192884</v>
      </c>
      <c r="Q27" s="493">
        <f t="shared" si="9"/>
        <v>448335</v>
      </c>
      <c r="R27" s="493">
        <f t="shared" si="9"/>
        <v>0</v>
      </c>
      <c r="S27" s="493">
        <f t="shared" si="9"/>
        <v>0</v>
      </c>
      <c r="T27" s="493">
        <f t="shared" si="9"/>
        <v>0</v>
      </c>
      <c r="U27" s="494">
        <f t="shared" si="9"/>
        <v>0</v>
      </c>
    </row>
    <row r="28" spans="2:23" s="430" customFormat="1">
      <c r="E28" s="471"/>
      <c r="F28" s="460" t="s">
        <v>679</v>
      </c>
      <c r="G28" s="432"/>
      <c r="H28" s="432"/>
      <c r="I28" s="495">
        <f t="shared" si="8"/>
        <v>0</v>
      </c>
      <c r="J28" s="496"/>
      <c r="K28" s="496"/>
      <c r="L28" s="497"/>
      <c r="M28" s="497">
        <v>0</v>
      </c>
      <c r="N28" s="497"/>
      <c r="O28" s="497"/>
      <c r="P28" s="497"/>
      <c r="Q28" s="497"/>
      <c r="R28" s="497"/>
      <c r="S28" s="497"/>
      <c r="T28" s="497"/>
      <c r="U28" s="498"/>
    </row>
    <row r="29" spans="2:23" s="430" customFormat="1">
      <c r="E29" s="471"/>
      <c r="F29" s="466" t="s">
        <v>680</v>
      </c>
      <c r="G29" s="432"/>
      <c r="H29" s="432"/>
      <c r="I29" s="467">
        <f t="shared" si="8"/>
        <v>0</v>
      </c>
      <c r="J29" s="499"/>
      <c r="K29" s="499"/>
      <c r="L29" s="469"/>
      <c r="M29" s="469">
        <v>0</v>
      </c>
      <c r="N29" s="469"/>
      <c r="O29" s="469"/>
      <c r="P29" s="469"/>
      <c r="Q29" s="469"/>
      <c r="R29" s="469"/>
      <c r="S29" s="469"/>
      <c r="T29" s="469"/>
      <c r="U29" s="470"/>
    </row>
    <row r="30" spans="2:23" s="430" customFormat="1">
      <c r="E30" s="500" t="s">
        <v>681</v>
      </c>
      <c r="F30" s="466"/>
      <c r="G30" s="432" t="s">
        <v>682</v>
      </c>
      <c r="H30" s="432"/>
      <c r="I30" s="467">
        <f t="shared" si="8"/>
        <v>544644</v>
      </c>
      <c r="J30" s="499"/>
      <c r="K30" s="501">
        <v>136161</v>
      </c>
      <c r="L30" s="502">
        <v>272322</v>
      </c>
      <c r="M30" s="503"/>
      <c r="N30" s="502">
        <v>0</v>
      </c>
      <c r="O30" s="502">
        <v>136161</v>
      </c>
      <c r="P30" s="502"/>
      <c r="Q30" s="502"/>
      <c r="R30" s="502"/>
      <c r="S30" s="502"/>
      <c r="T30" s="469"/>
      <c r="U30" s="470"/>
      <c r="V30" s="512">
        <f>SUM(K30:U30)</f>
        <v>544644</v>
      </c>
    </row>
    <row r="31" spans="2:23" s="430" customFormat="1">
      <c r="E31" s="500" t="s">
        <v>681</v>
      </c>
      <c r="F31" s="466"/>
      <c r="G31" s="432" t="s">
        <v>683</v>
      </c>
      <c r="H31" s="432"/>
      <c r="I31" s="467">
        <f t="shared" si="8"/>
        <v>1104443</v>
      </c>
      <c r="J31" s="499"/>
      <c r="K31" s="501"/>
      <c r="L31" s="502">
        <v>441777</v>
      </c>
      <c r="M31" s="502">
        <v>0</v>
      </c>
      <c r="N31" s="502">
        <v>662666</v>
      </c>
      <c r="O31" s="502"/>
      <c r="P31" s="502">
        <v>0</v>
      </c>
      <c r="Q31" s="502"/>
      <c r="R31" s="502">
        <v>0</v>
      </c>
      <c r="S31" s="502"/>
      <c r="T31" s="469"/>
      <c r="U31" s="470"/>
      <c r="V31" s="512">
        <f>SUM(K31:U31)</f>
        <v>1104443</v>
      </c>
    </row>
    <row r="32" spans="2:23" s="430" customFormat="1">
      <c r="E32" s="500" t="s">
        <v>681</v>
      </c>
      <c r="F32" s="466"/>
      <c r="G32" s="432" t="s">
        <v>684</v>
      </c>
      <c r="H32" s="432"/>
      <c r="I32" s="467">
        <f t="shared" si="8"/>
        <v>79704</v>
      </c>
      <c r="J32" s="499"/>
      <c r="K32" s="501"/>
      <c r="L32" s="502">
        <v>31882</v>
      </c>
      <c r="M32" s="502">
        <v>0</v>
      </c>
      <c r="N32" s="502">
        <v>47822</v>
      </c>
      <c r="O32" s="502"/>
      <c r="P32" s="502">
        <v>0</v>
      </c>
      <c r="Q32" s="502"/>
      <c r="R32" s="502">
        <v>0</v>
      </c>
      <c r="S32" s="502"/>
      <c r="T32" s="469"/>
      <c r="U32" s="470"/>
      <c r="V32" s="512">
        <f>SUM(K32:U32)</f>
        <v>79704</v>
      </c>
    </row>
    <row r="33" spans="1:24" s="430" customFormat="1">
      <c r="E33" s="500" t="s">
        <v>681</v>
      </c>
      <c r="F33" s="466"/>
      <c r="G33" s="432" t="s">
        <v>685</v>
      </c>
      <c r="H33" s="432"/>
      <c r="I33" s="467">
        <f t="shared" si="8"/>
        <v>321473</v>
      </c>
      <c r="J33" s="499"/>
      <c r="K33" s="501"/>
      <c r="L33" s="502">
        <v>128589</v>
      </c>
      <c r="M33" s="502">
        <v>0</v>
      </c>
      <c r="N33" s="502">
        <v>0</v>
      </c>
      <c r="O33" s="502"/>
      <c r="P33" s="502">
        <v>192884</v>
      </c>
      <c r="Q33" s="502"/>
      <c r="R33" s="502">
        <v>0</v>
      </c>
      <c r="S33" s="502"/>
      <c r="T33" s="469"/>
      <c r="U33" s="470"/>
    </row>
    <row r="34" spans="1:24" s="430" customFormat="1">
      <c r="E34" s="471" t="s">
        <v>686</v>
      </c>
      <c r="F34" s="466"/>
      <c r="G34" s="432" t="s">
        <v>687</v>
      </c>
      <c r="H34" s="432"/>
      <c r="I34" s="467">
        <f t="shared" si="8"/>
        <v>66420</v>
      </c>
      <c r="J34" s="499"/>
      <c r="K34" s="501"/>
      <c r="L34" s="502">
        <v>26568</v>
      </c>
      <c r="M34" s="502">
        <v>0</v>
      </c>
      <c r="N34" s="502">
        <v>39852</v>
      </c>
      <c r="O34" s="502"/>
      <c r="P34" s="502">
        <v>0</v>
      </c>
      <c r="Q34" s="502"/>
      <c r="R34" s="502">
        <v>0</v>
      </c>
      <c r="S34" s="502"/>
      <c r="T34" s="469"/>
      <c r="U34" s="470"/>
    </row>
    <row r="35" spans="1:24" s="430" customFormat="1">
      <c r="E35" s="471" t="s">
        <v>686</v>
      </c>
      <c r="F35" s="466"/>
      <c r="G35" s="432" t="s">
        <v>688</v>
      </c>
      <c r="H35" s="432"/>
      <c r="I35" s="467">
        <f t="shared" si="8"/>
        <v>265680</v>
      </c>
      <c r="J35" s="499"/>
      <c r="K35" s="501"/>
      <c r="L35" s="502">
        <v>0</v>
      </c>
      <c r="M35" s="502"/>
      <c r="N35" s="502">
        <v>0</v>
      </c>
      <c r="O35" s="502">
        <v>106272</v>
      </c>
      <c r="P35" s="502">
        <v>0</v>
      </c>
      <c r="Q35" s="502">
        <v>159408</v>
      </c>
      <c r="R35" s="502">
        <v>0</v>
      </c>
      <c r="S35" s="502"/>
      <c r="T35" s="469"/>
      <c r="U35" s="470"/>
    </row>
    <row r="36" spans="1:24" s="430" customFormat="1">
      <c r="E36" s="471" t="s">
        <v>689</v>
      </c>
      <c r="F36" s="466"/>
      <c r="G36" s="432" t="s">
        <v>690</v>
      </c>
      <c r="H36" s="432"/>
      <c r="I36" s="467">
        <f t="shared" si="8"/>
        <v>577854</v>
      </c>
      <c r="J36" s="499"/>
      <c r="K36" s="501"/>
      <c r="L36" s="502">
        <v>288927</v>
      </c>
      <c r="M36" s="502">
        <v>0</v>
      </c>
      <c r="N36" s="502">
        <v>0</v>
      </c>
      <c r="O36" s="502"/>
      <c r="P36" s="502">
        <v>0</v>
      </c>
      <c r="Q36" s="502">
        <v>288927</v>
      </c>
      <c r="R36" s="502">
        <v>0</v>
      </c>
      <c r="S36" s="502"/>
      <c r="T36" s="469"/>
      <c r="U36" s="470"/>
    </row>
    <row r="37" spans="1:24" s="430" customFormat="1">
      <c r="E37" s="471" t="s">
        <v>675</v>
      </c>
      <c r="F37" s="466"/>
      <c r="G37" s="432" t="s">
        <v>691</v>
      </c>
      <c r="H37" s="432"/>
      <c r="I37" s="467">
        <f t="shared" si="8"/>
        <v>132840</v>
      </c>
      <c r="J37" s="499"/>
      <c r="K37" s="501"/>
      <c r="L37" s="502">
        <v>66420</v>
      </c>
      <c r="M37" s="502">
        <v>66420</v>
      </c>
      <c r="N37" s="502">
        <v>0</v>
      </c>
      <c r="O37" s="502"/>
      <c r="P37" s="502">
        <v>0</v>
      </c>
      <c r="Q37" s="502"/>
      <c r="R37" s="502">
        <v>0</v>
      </c>
      <c r="S37" s="502"/>
      <c r="T37" s="469"/>
      <c r="U37" s="470"/>
    </row>
    <row r="38" spans="1:24" s="430" customFormat="1" ht="15.75" thickBot="1">
      <c r="E38" s="471" t="s">
        <v>675</v>
      </c>
      <c r="F38" s="481"/>
      <c r="G38" s="504" t="s">
        <v>692</v>
      </c>
      <c r="H38" s="482"/>
      <c r="I38" s="483">
        <f t="shared" si="8"/>
        <v>66420</v>
      </c>
      <c r="J38" s="505"/>
      <c r="K38" s="506"/>
      <c r="L38" s="486">
        <v>0</v>
      </c>
      <c r="M38" s="486">
        <v>26568</v>
      </c>
      <c r="N38" s="486">
        <v>39852</v>
      </c>
      <c r="O38" s="486"/>
      <c r="P38" s="486">
        <v>0</v>
      </c>
      <c r="Q38" s="486"/>
      <c r="R38" s="486">
        <v>0</v>
      </c>
      <c r="S38" s="486"/>
      <c r="T38" s="487"/>
      <c r="U38" s="488"/>
    </row>
    <row r="39" spans="1:24" s="430" customFormat="1" ht="13.5" thickBot="1">
      <c r="F39" s="507" t="s">
        <v>623</v>
      </c>
      <c r="G39" s="508"/>
      <c r="H39" s="508"/>
      <c r="I39" s="509">
        <f t="shared" si="8"/>
        <v>0</v>
      </c>
      <c r="J39" s="510"/>
      <c r="K39" s="511">
        <v>0</v>
      </c>
      <c r="L39" s="511">
        <v>0</v>
      </c>
      <c r="M39" s="511">
        <v>0</v>
      </c>
      <c r="N39" s="511">
        <v>0</v>
      </c>
      <c r="O39" s="511">
        <v>0</v>
      </c>
      <c r="P39" s="511">
        <v>0</v>
      </c>
      <c r="Q39" s="511">
        <v>0</v>
      </c>
      <c r="R39" s="511">
        <v>0</v>
      </c>
      <c r="S39" s="511">
        <v>0</v>
      </c>
      <c r="T39" s="511"/>
      <c r="U39" s="511">
        <v>0</v>
      </c>
    </row>
    <row r="41" spans="1:24">
      <c r="F41" s="154" t="s">
        <v>529</v>
      </c>
      <c r="K41" s="122">
        <f>K16/$V$16</f>
        <v>4.5950045559790577E-2</v>
      </c>
      <c r="L41" s="122">
        <f t="shared" ref="L41:R41" si="10">L16/$V$16</f>
        <v>0.14888452868824756</v>
      </c>
      <c r="M41" s="122">
        <f t="shared" si="10"/>
        <v>0.17853910045475671</v>
      </c>
      <c r="N41" s="122">
        <f t="shared" si="10"/>
        <v>9.9002791870318775E-3</v>
      </c>
      <c r="O41" s="122">
        <f t="shared" si="10"/>
        <v>0.302602030347357</v>
      </c>
      <c r="P41" s="122">
        <f t="shared" si="10"/>
        <v>0.11995699083666883</v>
      </c>
      <c r="Q41" s="122">
        <f t="shared" si="10"/>
        <v>0.10929843330199877</v>
      </c>
      <c r="R41" s="122">
        <f t="shared" si="10"/>
        <v>8.4868591624148698E-2</v>
      </c>
    </row>
    <row r="42" spans="1:24">
      <c r="F42" s="155" t="s">
        <v>530</v>
      </c>
      <c r="G42" s="156">
        <v>2019</v>
      </c>
      <c r="H42" s="157"/>
    </row>
    <row r="43" spans="1:24">
      <c r="F43" s="155" t="s">
        <v>531</v>
      </c>
      <c r="G43" s="158" t="s">
        <v>532</v>
      </c>
      <c r="H43" s="157"/>
      <c r="J43" t="s">
        <v>554</v>
      </c>
    </row>
    <row r="44" spans="1:24">
      <c r="I44" s="363" t="s">
        <v>645</v>
      </c>
      <c r="J44" s="438" t="s">
        <v>646</v>
      </c>
      <c r="K44" s="439" t="s">
        <v>647</v>
      </c>
      <c r="L44" s="440" t="s">
        <v>648</v>
      </c>
      <c r="M44" s="440" t="s">
        <v>649</v>
      </c>
      <c r="N44" s="441" t="s">
        <v>650</v>
      </c>
      <c r="O44" s="440" t="s">
        <v>651</v>
      </c>
      <c r="P44" s="442" t="s">
        <v>652</v>
      </c>
      <c r="Q44" s="442" t="s">
        <v>653</v>
      </c>
      <c r="R44" s="442" t="s">
        <v>654</v>
      </c>
      <c r="S44" s="442" t="s">
        <v>655</v>
      </c>
      <c r="T44" s="439" t="s">
        <v>656</v>
      </c>
      <c r="U44" s="439" t="s">
        <v>657</v>
      </c>
    </row>
    <row r="45" spans="1:24">
      <c r="I45" s="388"/>
      <c r="J45" s="364"/>
      <c r="K45" s="365"/>
      <c r="L45" s="365"/>
      <c r="M45" s="365"/>
      <c r="N45" s="365"/>
      <c r="O45" s="365"/>
      <c r="P45" s="365"/>
      <c r="Q45" s="365"/>
      <c r="R45" s="365"/>
      <c r="S45" s="365"/>
      <c r="T45" s="365"/>
      <c r="U45" s="365"/>
    </row>
    <row r="46" spans="1:24" s="17" customFormat="1" ht="15.75" thickBot="1">
      <c r="I46" s="382" t="s">
        <v>693</v>
      </c>
      <c r="J46" s="361"/>
      <c r="K46" s="371" t="s">
        <v>648</v>
      </c>
      <c r="L46" s="372" t="s">
        <v>649</v>
      </c>
      <c r="M46" s="373" t="s">
        <v>650</v>
      </c>
      <c r="N46" s="372" t="s">
        <v>651</v>
      </c>
      <c r="O46" s="372" t="s">
        <v>652</v>
      </c>
      <c r="P46" s="372" t="s">
        <v>653</v>
      </c>
      <c r="Q46" s="373" t="s">
        <v>654</v>
      </c>
      <c r="R46" s="374" t="s">
        <v>655</v>
      </c>
      <c r="S46" s="374" t="s">
        <v>656</v>
      </c>
      <c r="T46" s="374" t="s">
        <v>657</v>
      </c>
      <c r="U46" s="362"/>
      <c r="V46"/>
      <c r="W46" s="113"/>
    </row>
    <row r="47" spans="1:24" ht="63.75">
      <c r="A47" t="s">
        <v>22</v>
      </c>
      <c r="B47" t="s">
        <v>661</v>
      </c>
      <c r="C47" s="36" t="s">
        <v>662</v>
      </c>
      <c r="D47" s="36" t="s">
        <v>544</v>
      </c>
      <c r="E47" s="160" t="s">
        <v>663</v>
      </c>
      <c r="F47" s="639" t="s">
        <v>542</v>
      </c>
      <c r="G47" s="640"/>
      <c r="H47" s="640"/>
      <c r="I47" s="383" t="s">
        <v>664</v>
      </c>
      <c r="J47" s="375"/>
      <c r="K47" s="161" t="s">
        <v>665</v>
      </c>
      <c r="L47" s="161"/>
      <c r="M47" s="161" t="s">
        <v>666</v>
      </c>
      <c r="N47" s="161"/>
      <c r="O47" s="161" t="s">
        <v>665</v>
      </c>
      <c r="P47" s="161"/>
      <c r="Q47" s="161" t="s">
        <v>666</v>
      </c>
      <c r="R47" s="161"/>
      <c r="S47" s="161" t="s">
        <v>665</v>
      </c>
      <c r="T47" s="161"/>
      <c r="U47" s="161" t="s">
        <v>666</v>
      </c>
    </row>
    <row r="48" spans="1:24">
      <c r="F48" s="162" t="s">
        <v>552</v>
      </c>
      <c r="G48" s="163"/>
      <c r="H48" s="163"/>
      <c r="I48" s="384">
        <f>SUM(I49,I59,I71)</f>
        <v>10150.9326</v>
      </c>
      <c r="J48" s="376"/>
      <c r="K48" s="165">
        <f>SUM(K49,K59)</f>
        <v>345.86656357500516</v>
      </c>
      <c r="L48" s="165">
        <f t="shared" ref="L48:U48" si="11">SUM(L49,L59)</f>
        <v>2133.6107123253064</v>
      </c>
      <c r="M48" s="165">
        <f t="shared" si="11"/>
        <v>1159.3786805718073</v>
      </c>
      <c r="N48" s="165">
        <f t="shared" si="11"/>
        <v>1322.4065168266036</v>
      </c>
      <c r="O48" s="165">
        <f t="shared" si="11"/>
        <v>1294.4529424713712</v>
      </c>
      <c r="P48" s="165">
        <f t="shared" si="11"/>
        <v>925.17720719352644</v>
      </c>
      <c r="Q48" s="165">
        <f t="shared" si="11"/>
        <v>1219.6905528671336</v>
      </c>
      <c r="R48" s="165">
        <f t="shared" si="11"/>
        <v>506.45850416924696</v>
      </c>
      <c r="S48" s="165">
        <f t="shared" si="11"/>
        <v>0</v>
      </c>
      <c r="T48" s="165">
        <f t="shared" si="11"/>
        <v>0</v>
      </c>
      <c r="U48" s="165">
        <f t="shared" si="11"/>
        <v>0</v>
      </c>
      <c r="W48" s="166"/>
      <c r="X48" s="92"/>
    </row>
    <row r="49" spans="1:23">
      <c r="F49" s="167" t="s">
        <v>556</v>
      </c>
      <c r="G49" s="168"/>
      <c r="H49" s="168"/>
      <c r="I49" s="385">
        <f>SUM(J49:U49)</f>
        <v>5747.5636800000002</v>
      </c>
      <c r="J49" s="377"/>
      <c r="K49" s="170">
        <f>SUM(K50:K58)</f>
        <v>209.70556357500516</v>
      </c>
      <c r="L49" s="170">
        <f t="shared" ref="L49:U49" si="12">SUM(L50:L58)</f>
        <v>877.12571232530638</v>
      </c>
      <c r="M49" s="170">
        <f t="shared" si="12"/>
        <v>1066.3906805718073</v>
      </c>
      <c r="N49" s="170">
        <f t="shared" si="12"/>
        <v>532.21451682660359</v>
      </c>
      <c r="O49" s="170">
        <f t="shared" si="12"/>
        <v>1052.0199424713712</v>
      </c>
      <c r="P49" s="170">
        <f t="shared" si="12"/>
        <v>732.29320719352643</v>
      </c>
      <c r="Q49" s="170">
        <f t="shared" si="12"/>
        <v>771.35555286713361</v>
      </c>
      <c r="R49" s="170">
        <f t="shared" si="12"/>
        <v>506.45850416924696</v>
      </c>
      <c r="S49" s="170">
        <f t="shared" si="12"/>
        <v>0</v>
      </c>
      <c r="T49" s="170">
        <f t="shared" si="12"/>
        <v>0</v>
      </c>
      <c r="U49" s="170">
        <f t="shared" si="12"/>
        <v>0</v>
      </c>
      <c r="W49" s="166"/>
    </row>
    <row r="50" spans="1:23">
      <c r="E50" s="113"/>
      <c r="F50" s="171" t="s">
        <v>667</v>
      </c>
      <c r="G50" s="92"/>
      <c r="H50" s="92"/>
      <c r="I50" s="386"/>
      <c r="J50" s="378"/>
      <c r="K50" s="173"/>
      <c r="L50" s="173"/>
      <c r="M50" s="173"/>
      <c r="N50" s="173"/>
      <c r="O50" s="173"/>
      <c r="P50" s="173"/>
      <c r="Q50" s="173"/>
      <c r="R50" s="173"/>
      <c r="S50" s="173"/>
      <c r="T50" s="173"/>
      <c r="U50" s="173"/>
      <c r="W50" s="166"/>
    </row>
    <row r="51" spans="1:23">
      <c r="A51" t="s">
        <v>32</v>
      </c>
      <c r="B51" t="str">
        <f>VLOOKUP($A51,'Price Table 8 Airbus'!$A:E,2,FALSE)</f>
        <v>Management</v>
      </c>
      <c r="C51" t="str">
        <f>VLOOKUP($A51,'Price Table 8 Airbus'!$A:AA,5,FALSE)</f>
        <v>MGT</v>
      </c>
      <c r="D51" t="str">
        <f>VLOOKUP($A51,'Price Table 8 Airbus'!$A:AB,6,FALSE)</f>
        <v>Manpower</v>
      </c>
      <c r="E51" s="174">
        <v>110400.1</v>
      </c>
      <c r="F51" s="171"/>
      <c r="G51" s="175" t="s">
        <v>558</v>
      </c>
      <c r="H51" s="92"/>
      <c r="I51" s="386">
        <f>I86*0.8</f>
        <v>856.32000000000016</v>
      </c>
      <c r="J51" s="378"/>
      <c r="K51" s="173">
        <f>K$14/$V$14*$I$51</f>
        <v>41.121730647312667</v>
      </c>
      <c r="L51" s="173">
        <f t="shared" ref="L51:U51" si="13">L$14/$V$14*$I$51</f>
        <v>116.22899985241307</v>
      </c>
      <c r="M51" s="173">
        <f t="shared" si="13"/>
        <v>118.94819267244702</v>
      </c>
      <c r="N51" s="173">
        <f t="shared" si="13"/>
        <v>118.94819267244702</v>
      </c>
      <c r="O51" s="173">
        <f t="shared" si="13"/>
        <v>118.94819267244702</v>
      </c>
      <c r="P51" s="173">
        <f t="shared" si="13"/>
        <v>118.94819267244702</v>
      </c>
      <c r="Q51" s="173">
        <f t="shared" si="13"/>
        <v>121.73733257466834</v>
      </c>
      <c r="R51" s="173">
        <f t="shared" si="13"/>
        <v>101.43916623581798</v>
      </c>
      <c r="S51" s="173">
        <f t="shared" si="13"/>
        <v>0</v>
      </c>
      <c r="T51" s="173">
        <f t="shared" si="13"/>
        <v>0</v>
      </c>
      <c r="U51" s="173">
        <f t="shared" si="13"/>
        <v>0</v>
      </c>
      <c r="W51" s="166"/>
    </row>
    <row r="52" spans="1:23">
      <c r="A52" t="s">
        <v>76</v>
      </c>
      <c r="B52" t="str">
        <f>VLOOKUP($A52,'Price Table 8 Airbus'!$A:E,2,FALSE)</f>
        <v>Product Assurance</v>
      </c>
      <c r="C52" t="str">
        <f>VLOOKUP($A52,'Price Table 8 Airbus'!$A:AA,5,FALSE)</f>
        <v>MGT</v>
      </c>
      <c r="D52" t="str">
        <f>VLOOKUP($A52,'Price Table 8 Airbus'!$A:AB,6,FALSE)</f>
        <v>Manpower</v>
      </c>
      <c r="E52" s="174">
        <v>130400.1</v>
      </c>
      <c r="F52" s="171"/>
      <c r="G52" s="175" t="s">
        <v>559</v>
      </c>
      <c r="H52" s="92"/>
      <c r="I52" s="386">
        <f>I87*0.8</f>
        <v>337.17520000000002</v>
      </c>
      <c r="J52" s="378"/>
      <c r="K52" s="173">
        <f>K$15/$V$15*$I$52</f>
        <v>24.933599860514541</v>
      </c>
      <c r="L52" s="173">
        <f t="shared" ref="L52:U52" si="14">L$15/$V$15*$I$52</f>
        <v>72.504064287717043</v>
      </c>
      <c r="M52" s="173">
        <f t="shared" si="14"/>
        <v>74.315394785788513</v>
      </c>
      <c r="N52" s="173">
        <f t="shared" si="14"/>
        <v>67.398177835477853</v>
      </c>
      <c r="O52" s="173">
        <f t="shared" si="14"/>
        <v>33.177536956342465</v>
      </c>
      <c r="P52" s="173">
        <f t="shared" si="14"/>
        <v>21.261683385915266</v>
      </c>
      <c r="Q52" s="173">
        <f t="shared" si="14"/>
        <v>21.792371444122171</v>
      </c>
      <c r="R52" s="173">
        <f t="shared" si="14"/>
        <v>21.792371444122171</v>
      </c>
      <c r="S52" s="173">
        <f t="shared" si="14"/>
        <v>0</v>
      </c>
      <c r="T52" s="173">
        <f t="shared" si="14"/>
        <v>0</v>
      </c>
      <c r="U52" s="173">
        <f t="shared" si="14"/>
        <v>0</v>
      </c>
      <c r="W52" s="166"/>
    </row>
    <row r="53" spans="1:23" s="37" customFormat="1">
      <c r="A53" t="s">
        <v>180</v>
      </c>
      <c r="B53" t="str">
        <f>VLOOKUP($A53,'Price Table 8 Airbus'!$A:E,2,FALSE)</f>
        <v>Data Handling - Engineering</v>
      </c>
      <c r="C53" t="str">
        <f>VLOOKUP($A53,'Price Table 8 Airbus'!$A:AA,5,FALSE)</f>
        <v>MISSION</v>
      </c>
      <c r="D53" t="str">
        <f>VLOOKUP($A53,'Price Table 8 Airbus'!$A:AB,6,FALSE)</f>
        <v>Manpower</v>
      </c>
      <c r="E53" s="223">
        <v>120400.1</v>
      </c>
      <c r="F53" s="224"/>
      <c r="G53" s="638" t="s">
        <v>694</v>
      </c>
      <c r="H53" s="638"/>
      <c r="I53" s="386">
        <f>$I$88*W17*0.8</f>
        <v>1498.2955644790457</v>
      </c>
      <c r="J53" s="379"/>
      <c r="K53" s="173">
        <f>$I53*K$41</f>
        <v>68.846749449844282</v>
      </c>
      <c r="L53" s="173">
        <f t="shared" ref="L53:U56" si="15">$I53*L$41</f>
        <v>223.07302895315453</v>
      </c>
      <c r="M53" s="173">
        <f t="shared" si="15"/>
        <v>267.50434229744076</v>
      </c>
      <c r="N53" s="173">
        <f t="shared" si="15"/>
        <v>14.833544393034074</v>
      </c>
      <c r="O53" s="173">
        <f t="shared" si="15"/>
        <v>453.38727987179857</v>
      </c>
      <c r="P53" s="173">
        <f t="shared" si="15"/>
        <v>179.73102729883442</v>
      </c>
      <c r="Q53" s="173">
        <f t="shared" si="15"/>
        <v>163.76135782089358</v>
      </c>
      <c r="R53" s="173">
        <f t="shared" si="15"/>
        <v>127.15823439404548</v>
      </c>
      <c r="S53" s="173">
        <f t="shared" si="15"/>
        <v>0</v>
      </c>
      <c r="T53" s="173">
        <f t="shared" si="15"/>
        <v>0</v>
      </c>
      <c r="U53" s="173">
        <f t="shared" si="15"/>
        <v>0</v>
      </c>
      <c r="V53"/>
      <c r="W53" s="225"/>
    </row>
    <row r="54" spans="1:23" s="189" customFormat="1">
      <c r="A54" t="s">
        <v>180</v>
      </c>
      <c r="B54" s="17" t="str">
        <f>VLOOKUP($A54,'Price Table 8 Airbus'!$A:E,2,FALSE)</f>
        <v>Data Handling - Engineering</v>
      </c>
      <c r="C54" s="17" t="str">
        <f>VLOOKUP($A54,'Price Table 8 Airbus'!$A:AA,5,FALSE)</f>
        <v>MISSION</v>
      </c>
      <c r="D54" s="17" t="str">
        <f>VLOOKUP($A54,'Price Table 8 Airbus'!$A:AB,6,FALSE)</f>
        <v>Manpower</v>
      </c>
      <c r="E54" s="525">
        <v>420000.1</v>
      </c>
      <c r="F54" s="526"/>
      <c r="G54" s="637" t="s">
        <v>695</v>
      </c>
      <c r="H54" s="637"/>
      <c r="I54" s="527">
        <f>$I$88*W18*0.8</f>
        <v>576.12396728707893</v>
      </c>
      <c r="J54" s="528"/>
      <c r="K54" s="529">
        <f t="shared" ref="K54:K56" si="16">$I54*K$41</f>
        <v>26.472922544928572</v>
      </c>
      <c r="L54" s="529">
        <f t="shared" si="15"/>
        <v>85.775945335540101</v>
      </c>
      <c r="M54" s="529">
        <f t="shared" si="15"/>
        <v>102.86065486986075</v>
      </c>
      <c r="N54" s="529">
        <f t="shared" si="15"/>
        <v>5.7037881224825018</v>
      </c>
      <c r="O54" s="529">
        <f t="shared" si="15"/>
        <v>174.33628223284435</v>
      </c>
      <c r="P54" s="529">
        <f t="shared" si="15"/>
        <v>69.110097464641413</v>
      </c>
      <c r="Q54" s="529">
        <f t="shared" si="15"/>
        <v>62.96944701220972</v>
      </c>
      <c r="R54" s="529">
        <f t="shared" si="15"/>
        <v>48.894829704571507</v>
      </c>
      <c r="S54" s="529">
        <f t="shared" si="15"/>
        <v>0</v>
      </c>
      <c r="T54" s="529">
        <f t="shared" si="15"/>
        <v>0</v>
      </c>
      <c r="U54" s="529">
        <f t="shared" si="15"/>
        <v>0</v>
      </c>
      <c r="V54" s="17"/>
      <c r="W54" s="530"/>
    </row>
    <row r="55" spans="1:23" s="37" customFormat="1">
      <c r="A55" t="s">
        <v>180</v>
      </c>
      <c r="B55" t="str">
        <f>VLOOKUP($A55,'Price Table 8 Airbus'!$A:E,2,FALSE)</f>
        <v>Data Handling - Engineering</v>
      </c>
      <c r="C55" t="str">
        <f>VLOOKUP($A55,'Price Table 8 Airbus'!$A:AA,5,FALSE)</f>
        <v>MISSION</v>
      </c>
      <c r="D55" t="str">
        <f>VLOOKUP($A55,'Price Table 8 Airbus'!$A:AB,6,FALSE)</f>
        <v>Manpower</v>
      </c>
      <c r="E55" s="223">
        <v>430000.1</v>
      </c>
      <c r="F55" s="224"/>
      <c r="G55" s="638" t="s">
        <v>696</v>
      </c>
      <c r="H55" s="638"/>
      <c r="I55" s="386">
        <f>$I$88*W20*0.8</f>
        <v>370.93793926863395</v>
      </c>
      <c r="J55" s="379"/>
      <c r="K55" s="173">
        <f t="shared" si="16"/>
        <v>17.044615209248562</v>
      </c>
      <c r="L55" s="173">
        <f t="shared" si="15"/>
        <v>55.226920260600366</v>
      </c>
      <c r="M55" s="173">
        <f t="shared" si="15"/>
        <v>66.226926001563086</v>
      </c>
      <c r="N55" s="173">
        <f t="shared" si="15"/>
        <v>3.6723891598217513</v>
      </c>
      <c r="O55" s="173">
        <f t="shared" si="15"/>
        <v>112.24657355555324</v>
      </c>
      <c r="P55" s="173">
        <f t="shared" si="15"/>
        <v>44.496598981820341</v>
      </c>
      <c r="Q55" s="173">
        <f t="shared" si="15"/>
        <v>40.542935614333658</v>
      </c>
      <c r="R55" s="173">
        <f t="shared" si="15"/>
        <v>31.480980485692967</v>
      </c>
      <c r="S55" s="173">
        <f t="shared" si="15"/>
        <v>0</v>
      </c>
      <c r="T55" s="173">
        <f t="shared" si="15"/>
        <v>0</v>
      </c>
      <c r="U55" s="173">
        <f t="shared" si="15"/>
        <v>0</v>
      </c>
      <c r="V55"/>
      <c r="W55" s="225"/>
    </row>
    <row r="56" spans="1:23" s="189" customFormat="1">
      <c r="A56" t="s">
        <v>180</v>
      </c>
      <c r="B56" s="17" t="str">
        <f>VLOOKUP($A56,'Price Table 8 Airbus'!$A:E,2,FALSE)</f>
        <v>Data Handling - Engineering</v>
      </c>
      <c r="C56" s="17" t="str">
        <f>VLOOKUP($A56,'Price Table 8 Airbus'!$A:AA,5,FALSE)</f>
        <v>MISSION</v>
      </c>
      <c r="D56" s="17" t="str">
        <f>VLOOKUP($A56,'Price Table 8 Airbus'!$A:AB,6,FALSE)</f>
        <v>Manpower</v>
      </c>
      <c r="E56" s="525">
        <v>440000.1</v>
      </c>
      <c r="F56" s="526"/>
      <c r="G56" s="637" t="s">
        <v>697</v>
      </c>
      <c r="H56" s="637"/>
      <c r="I56" s="527">
        <f>$I$88*W22*0.8</f>
        <v>146.20652896524149</v>
      </c>
      <c r="J56" s="528"/>
      <c r="K56" s="529">
        <f t="shared" si="16"/>
        <v>6.7181966670916866</v>
      </c>
      <c r="L56" s="529">
        <f t="shared" si="15"/>
        <v>21.767890156134595</v>
      </c>
      <c r="M56" s="529">
        <f t="shared" si="15"/>
        <v>26.103582162066548</v>
      </c>
      <c r="N56" s="529">
        <f t="shared" si="15"/>
        <v>1.4474854557227537</v>
      </c>
      <c r="O56" s="529">
        <f t="shared" si="15"/>
        <v>44.242392514921733</v>
      </c>
      <c r="P56" s="529">
        <f t="shared" si="15"/>
        <v>17.538495255344628</v>
      </c>
      <c r="Q56" s="529">
        <f t="shared" si="15"/>
        <v>15.980144554424198</v>
      </c>
      <c r="R56" s="529">
        <f t="shared" si="15"/>
        <v>12.408342199535348</v>
      </c>
      <c r="S56" s="529">
        <f t="shared" si="15"/>
        <v>0</v>
      </c>
      <c r="T56" s="529">
        <f t="shared" si="15"/>
        <v>0</v>
      </c>
      <c r="U56" s="529">
        <f t="shared" si="15"/>
        <v>0</v>
      </c>
      <c r="V56" s="17"/>
      <c r="W56" s="530"/>
    </row>
    <row r="57" spans="1:23">
      <c r="A57" t="s">
        <v>180</v>
      </c>
      <c r="B57" t="str">
        <f>VLOOKUP($A57,'Price Table 8 Airbus'!$A:E,2,FALSE)</f>
        <v>Data Handling - Engineering</v>
      </c>
      <c r="C57" t="str">
        <f>VLOOKUP($A57,'Price Table 8 Airbus'!$A:AA,5,FALSE)</f>
        <v>MISSION</v>
      </c>
      <c r="D57" t="str">
        <f>VLOOKUP($A57,'Price Table 8 Airbus'!$A:AB,6,FALSE)</f>
        <v>Manpower</v>
      </c>
      <c r="E57" s="174" t="s">
        <v>675</v>
      </c>
      <c r="F57" s="171" t="s">
        <v>676</v>
      </c>
      <c r="G57" s="92"/>
      <c r="H57" s="92"/>
      <c r="I57" s="386">
        <f>I89*0.8</f>
        <v>1190.5044800000003</v>
      </c>
      <c r="J57" s="378"/>
      <c r="K57" s="173">
        <f>K$24/$V$24*$I$57</f>
        <v>24.567749196064867</v>
      </c>
      <c r="L57" s="173">
        <f t="shared" ref="L57:U57" si="17">L$24/$V$24*$I$57</f>
        <v>83.300935066361831</v>
      </c>
      <c r="M57" s="173">
        <f t="shared" si="17"/>
        <v>81.558700904019773</v>
      </c>
      <c r="N57" s="173">
        <f t="shared" si="17"/>
        <v>100.96301077423281</v>
      </c>
      <c r="O57" s="173">
        <f t="shared" si="17"/>
        <v>115.6816846674638</v>
      </c>
      <c r="P57" s="173">
        <f t="shared" si="17"/>
        <v>278.89148398721858</v>
      </c>
      <c r="Q57" s="173">
        <f t="shared" si="17"/>
        <v>344.57196384648199</v>
      </c>
      <c r="R57" s="173">
        <f t="shared" si="17"/>
        <v>160.96895155815665</v>
      </c>
      <c r="S57" s="173">
        <f t="shared" si="17"/>
        <v>0</v>
      </c>
      <c r="T57" s="173">
        <f t="shared" si="17"/>
        <v>0</v>
      </c>
      <c r="U57" s="173">
        <f t="shared" si="17"/>
        <v>0</v>
      </c>
      <c r="W57" s="166"/>
    </row>
    <row r="58" spans="1:23">
      <c r="A58" t="s">
        <v>578</v>
      </c>
      <c r="B58" t="str">
        <f>VLOOKUP($A58,'Price Table 8 Airbus'!$A:E,2,FALSE)</f>
        <v>Data Handling - HW procurements</v>
      </c>
      <c r="C58" t="str">
        <f>VLOOKUP($A58,'Price Table 8 Airbus'!$A:AA,5,FALSE)</f>
        <v>MISSION</v>
      </c>
      <c r="D58" t="str">
        <f>VLOOKUP($A58,'Price Table 8 Airbus'!$A:AB,6,FALSE)</f>
        <v>Procurement</v>
      </c>
      <c r="E58" s="174" t="s">
        <v>675</v>
      </c>
      <c r="F58" s="176" t="s">
        <v>678</v>
      </c>
      <c r="G58" s="177"/>
      <c r="H58" s="177"/>
      <c r="I58" s="386">
        <v>772</v>
      </c>
      <c r="J58" s="378"/>
      <c r="K58" s="173">
        <f>K$26/$V$26*$I$58</f>
        <v>0</v>
      </c>
      <c r="L58" s="173">
        <f t="shared" ref="L58:R58" si="18">L$26/$V$26*$I$58</f>
        <v>219.24792841338487</v>
      </c>
      <c r="M58" s="173">
        <f t="shared" si="18"/>
        <v>328.87288687862059</v>
      </c>
      <c r="N58" s="173">
        <f t="shared" si="18"/>
        <v>219.24792841338487</v>
      </c>
      <c r="O58" s="173">
        <f t="shared" si="18"/>
        <v>0</v>
      </c>
      <c r="P58" s="173">
        <f t="shared" si="18"/>
        <v>2.3156281473048126</v>
      </c>
      <c r="Q58" s="173">
        <f t="shared" si="18"/>
        <v>0</v>
      </c>
      <c r="R58" s="173">
        <f t="shared" si="18"/>
        <v>2.3156281473048126</v>
      </c>
      <c r="S58" s="173">
        <f t="shared" ref="S58:U58" si="19">S26/1000</f>
        <v>0</v>
      </c>
      <c r="T58" s="173">
        <f t="shared" si="19"/>
        <v>0</v>
      </c>
      <c r="U58" s="173">
        <f t="shared" si="19"/>
        <v>0</v>
      </c>
      <c r="W58" s="166"/>
    </row>
    <row r="59" spans="1:23">
      <c r="E59" s="174"/>
      <c r="F59" s="167" t="s">
        <v>570</v>
      </c>
      <c r="G59" s="168"/>
      <c r="H59" s="168"/>
      <c r="I59" s="385">
        <v>3159.4780000000001</v>
      </c>
      <c r="J59" s="377"/>
      <c r="K59" s="170">
        <f>SUM(K60:K70)</f>
        <v>136.161</v>
      </c>
      <c r="L59" s="170">
        <f t="shared" ref="L59:U59" si="20">SUM(L60:L70)</f>
        <v>1256.4850000000001</v>
      </c>
      <c r="M59" s="170">
        <f t="shared" si="20"/>
        <v>92.988</v>
      </c>
      <c r="N59" s="170">
        <f t="shared" si="20"/>
        <v>790.19200000000001</v>
      </c>
      <c r="O59" s="170">
        <f t="shared" si="20"/>
        <v>242.43299999999999</v>
      </c>
      <c r="P59" s="170">
        <f t="shared" si="20"/>
        <v>192.88399999999999</v>
      </c>
      <c r="Q59" s="170">
        <f t="shared" si="20"/>
        <v>448.33500000000004</v>
      </c>
      <c r="R59" s="170">
        <f t="shared" si="20"/>
        <v>0</v>
      </c>
      <c r="S59" s="170">
        <f t="shared" si="20"/>
        <v>0</v>
      </c>
      <c r="T59" s="170">
        <f t="shared" si="20"/>
        <v>0</v>
      </c>
      <c r="U59" s="170">
        <f t="shared" si="20"/>
        <v>0</v>
      </c>
      <c r="W59" s="166"/>
    </row>
    <row r="60" spans="1:23">
      <c r="E60" s="174"/>
      <c r="F60" s="167" t="s">
        <v>679</v>
      </c>
      <c r="G60" s="168"/>
      <c r="H60" s="92"/>
      <c r="I60" s="386"/>
      <c r="J60" s="378"/>
      <c r="K60" s="173"/>
      <c r="L60" s="173"/>
      <c r="M60" s="173"/>
      <c r="N60" s="173"/>
      <c r="O60" s="173"/>
      <c r="P60" s="173"/>
      <c r="Q60" s="173"/>
      <c r="R60" s="173"/>
      <c r="S60" s="173"/>
      <c r="T60" s="173"/>
      <c r="U60" s="173"/>
      <c r="W60" s="166"/>
    </row>
    <row r="61" spans="1:23">
      <c r="E61" s="174"/>
      <c r="F61" s="171" t="s">
        <v>680</v>
      </c>
      <c r="G61" s="92"/>
      <c r="H61" s="92"/>
      <c r="I61" s="386"/>
      <c r="J61" s="378"/>
      <c r="K61" s="173"/>
      <c r="L61" s="173"/>
      <c r="M61" s="173"/>
      <c r="N61" s="173"/>
      <c r="O61" s="173"/>
      <c r="P61" s="173"/>
      <c r="Q61" s="173"/>
      <c r="R61" s="173"/>
      <c r="S61" s="173"/>
      <c r="T61" s="173"/>
      <c r="U61" s="173"/>
      <c r="W61" s="166"/>
    </row>
    <row r="62" spans="1:23">
      <c r="A62" t="s">
        <v>578</v>
      </c>
      <c r="B62" t="str">
        <f>VLOOKUP($A62,'Price Table 8 Airbus'!$A:E,2,FALSE)</f>
        <v>Data Handling - HW procurements</v>
      </c>
      <c r="C62" t="str">
        <f>VLOOKUP($A62,'Price Table 8 Airbus'!$A:AA,5,FALSE)</f>
        <v>MISSION</v>
      </c>
      <c r="D62" t="str">
        <f>VLOOKUP($A62,'Price Table 8 Airbus'!$A:AB,6,FALSE)</f>
        <v>Procurement</v>
      </c>
      <c r="E62" s="179" t="s">
        <v>681</v>
      </c>
      <c r="F62" s="171"/>
      <c r="G62" s="92" t="s">
        <v>682</v>
      </c>
      <c r="H62" s="92"/>
      <c r="I62" s="386">
        <f>SUM(J62:U62)</f>
        <v>544.64400000000001</v>
      </c>
      <c r="J62" s="378"/>
      <c r="K62" s="173">
        <f t="shared" ref="K62:K70" si="21">K30/1000</f>
        <v>136.161</v>
      </c>
      <c r="L62" s="173">
        <f t="shared" ref="L62:U70" si="22">L30/1000</f>
        <v>272.322</v>
      </c>
      <c r="M62" s="173">
        <f t="shared" si="22"/>
        <v>0</v>
      </c>
      <c r="N62" s="173">
        <f t="shared" si="22"/>
        <v>0</v>
      </c>
      <c r="O62" s="173">
        <f t="shared" si="22"/>
        <v>136.161</v>
      </c>
      <c r="P62" s="173">
        <f t="shared" si="22"/>
        <v>0</v>
      </c>
      <c r="Q62" s="173">
        <f t="shared" si="22"/>
        <v>0</v>
      </c>
      <c r="R62" s="173">
        <f t="shared" si="22"/>
        <v>0</v>
      </c>
      <c r="S62" s="173">
        <f t="shared" si="22"/>
        <v>0</v>
      </c>
      <c r="T62" s="173">
        <f t="shared" si="22"/>
        <v>0</v>
      </c>
      <c r="U62" s="173">
        <f t="shared" si="22"/>
        <v>0</v>
      </c>
      <c r="W62" s="166"/>
    </row>
    <row r="63" spans="1:23">
      <c r="A63" t="s">
        <v>578</v>
      </c>
      <c r="B63" t="str">
        <f>VLOOKUP($A63,'Price Table 8 Airbus'!$A:E,2,FALSE)</f>
        <v>Data Handling - HW procurements</v>
      </c>
      <c r="C63" t="str">
        <f>VLOOKUP($A63,'Price Table 8 Airbus'!$A:AA,5,FALSE)</f>
        <v>MISSION</v>
      </c>
      <c r="D63" t="str">
        <f>VLOOKUP($A63,'Price Table 8 Airbus'!$A:AB,6,FALSE)</f>
        <v>Procurement</v>
      </c>
      <c r="E63" s="179" t="s">
        <v>681</v>
      </c>
      <c r="F63" s="171"/>
      <c r="G63" s="92" t="s">
        <v>683</v>
      </c>
      <c r="H63" s="92"/>
      <c r="I63" s="386">
        <f t="shared" ref="I63:I70" si="23">SUM(J63:U63)</f>
        <v>1104.443</v>
      </c>
      <c r="J63" s="378"/>
      <c r="K63" s="173">
        <f t="shared" si="21"/>
        <v>0</v>
      </c>
      <c r="L63" s="173">
        <f t="shared" si="22"/>
        <v>441.77699999999999</v>
      </c>
      <c r="M63" s="173">
        <f t="shared" si="22"/>
        <v>0</v>
      </c>
      <c r="N63" s="173">
        <f t="shared" si="22"/>
        <v>662.66600000000005</v>
      </c>
      <c r="O63" s="173">
        <f t="shared" si="22"/>
        <v>0</v>
      </c>
      <c r="P63" s="173">
        <f t="shared" si="22"/>
        <v>0</v>
      </c>
      <c r="Q63" s="173">
        <f t="shared" si="22"/>
        <v>0</v>
      </c>
      <c r="R63" s="173">
        <f t="shared" si="22"/>
        <v>0</v>
      </c>
      <c r="S63" s="173">
        <f t="shared" si="22"/>
        <v>0</v>
      </c>
      <c r="T63" s="173">
        <f t="shared" si="22"/>
        <v>0</v>
      </c>
      <c r="U63" s="173">
        <f t="shared" si="22"/>
        <v>0</v>
      </c>
      <c r="W63" s="166"/>
    </row>
    <row r="64" spans="1:23">
      <c r="A64" t="s">
        <v>578</v>
      </c>
      <c r="B64" t="str">
        <f>VLOOKUP($A64,'Price Table 8 Airbus'!$A:E,2,FALSE)</f>
        <v>Data Handling - HW procurements</v>
      </c>
      <c r="C64" t="str">
        <f>VLOOKUP($A64,'Price Table 8 Airbus'!$A:AA,5,FALSE)</f>
        <v>MISSION</v>
      </c>
      <c r="D64" t="str">
        <f>VLOOKUP($A64,'Price Table 8 Airbus'!$A:AB,6,FALSE)</f>
        <v>Procurement</v>
      </c>
      <c r="E64" s="179" t="s">
        <v>681</v>
      </c>
      <c r="F64" s="171"/>
      <c r="G64" s="92" t="s">
        <v>684</v>
      </c>
      <c r="H64" s="92"/>
      <c r="I64" s="386">
        <f t="shared" si="23"/>
        <v>79.704000000000008</v>
      </c>
      <c r="J64" s="378"/>
      <c r="K64" s="173">
        <f t="shared" si="21"/>
        <v>0</v>
      </c>
      <c r="L64" s="173">
        <f t="shared" si="22"/>
        <v>31.882000000000001</v>
      </c>
      <c r="M64" s="173">
        <f t="shared" si="22"/>
        <v>0</v>
      </c>
      <c r="N64" s="173">
        <f t="shared" si="22"/>
        <v>47.822000000000003</v>
      </c>
      <c r="O64" s="173">
        <f t="shared" si="22"/>
        <v>0</v>
      </c>
      <c r="P64" s="173">
        <f t="shared" si="22"/>
        <v>0</v>
      </c>
      <c r="Q64" s="173">
        <f t="shared" si="22"/>
        <v>0</v>
      </c>
      <c r="R64" s="173">
        <f t="shared" si="22"/>
        <v>0</v>
      </c>
      <c r="S64" s="173">
        <f t="shared" si="22"/>
        <v>0</v>
      </c>
      <c r="T64" s="173">
        <f t="shared" si="22"/>
        <v>0</v>
      </c>
      <c r="U64" s="173">
        <f t="shared" si="22"/>
        <v>0</v>
      </c>
      <c r="W64" s="166"/>
    </row>
    <row r="65" spans="1:23">
      <c r="A65" t="s">
        <v>578</v>
      </c>
      <c r="B65" t="str">
        <f>VLOOKUP($A65,'Price Table 8 Airbus'!$A:E,2,FALSE)</f>
        <v>Data Handling - HW procurements</v>
      </c>
      <c r="C65" t="str">
        <f>VLOOKUP($A65,'Price Table 8 Airbus'!$A:AA,5,FALSE)</f>
        <v>MISSION</v>
      </c>
      <c r="D65" t="str">
        <f>VLOOKUP($A65,'Price Table 8 Airbus'!$A:AB,6,FALSE)</f>
        <v>Procurement</v>
      </c>
      <c r="E65" s="179" t="s">
        <v>681</v>
      </c>
      <c r="F65" s="171"/>
      <c r="G65" s="92" t="s">
        <v>685</v>
      </c>
      <c r="H65" s="92"/>
      <c r="I65" s="386">
        <f t="shared" si="23"/>
        <v>321.47299999999996</v>
      </c>
      <c r="J65" s="378"/>
      <c r="K65" s="173">
        <f t="shared" si="21"/>
        <v>0</v>
      </c>
      <c r="L65" s="173">
        <f t="shared" si="22"/>
        <v>128.589</v>
      </c>
      <c r="M65" s="173">
        <f t="shared" si="22"/>
        <v>0</v>
      </c>
      <c r="N65" s="173">
        <f t="shared" si="22"/>
        <v>0</v>
      </c>
      <c r="O65" s="173">
        <f t="shared" si="22"/>
        <v>0</v>
      </c>
      <c r="P65" s="173">
        <f t="shared" si="22"/>
        <v>192.88399999999999</v>
      </c>
      <c r="Q65" s="173">
        <f t="shared" si="22"/>
        <v>0</v>
      </c>
      <c r="R65" s="173">
        <f t="shared" si="22"/>
        <v>0</v>
      </c>
      <c r="S65" s="173">
        <f t="shared" si="22"/>
        <v>0</v>
      </c>
      <c r="T65" s="173">
        <f t="shared" si="22"/>
        <v>0</v>
      </c>
      <c r="U65" s="173">
        <f t="shared" si="22"/>
        <v>0</v>
      </c>
      <c r="W65" s="166"/>
    </row>
    <row r="66" spans="1:23">
      <c r="A66" t="s">
        <v>582</v>
      </c>
      <c r="B66" t="str">
        <f>VLOOKUP($A66,'Price Table 8 Airbus'!$A:E,2,FALSE)</f>
        <v>Electrical Power - HW procurements</v>
      </c>
      <c r="C66" t="str">
        <f>VLOOKUP($A66,'Price Table 8 Airbus'!$A:AA,5,FALSE)</f>
        <v>MISSION</v>
      </c>
      <c r="D66" t="str">
        <f>VLOOKUP($A66,'Price Table 8 Airbus'!$A:AB,6,FALSE)</f>
        <v>Procurement</v>
      </c>
      <c r="E66" s="174" t="s">
        <v>686</v>
      </c>
      <c r="F66" s="171"/>
      <c r="G66" s="92" t="s">
        <v>687</v>
      </c>
      <c r="H66" s="92"/>
      <c r="I66" s="386">
        <f t="shared" si="23"/>
        <v>66.42</v>
      </c>
      <c r="J66" s="378"/>
      <c r="K66" s="173">
        <f t="shared" si="21"/>
        <v>0</v>
      </c>
      <c r="L66" s="173">
        <f t="shared" si="22"/>
        <v>26.568000000000001</v>
      </c>
      <c r="M66" s="173">
        <f t="shared" si="22"/>
        <v>0</v>
      </c>
      <c r="N66" s="173">
        <f t="shared" si="22"/>
        <v>39.851999999999997</v>
      </c>
      <c r="O66" s="173">
        <f t="shared" si="22"/>
        <v>0</v>
      </c>
      <c r="P66" s="173">
        <f t="shared" si="22"/>
        <v>0</v>
      </c>
      <c r="Q66" s="173">
        <f t="shared" si="22"/>
        <v>0</v>
      </c>
      <c r="R66" s="173">
        <f t="shared" si="22"/>
        <v>0</v>
      </c>
      <c r="S66" s="173">
        <f t="shared" si="22"/>
        <v>0</v>
      </c>
      <c r="T66" s="173">
        <f t="shared" si="22"/>
        <v>0</v>
      </c>
      <c r="U66" s="173">
        <f t="shared" si="22"/>
        <v>0</v>
      </c>
      <c r="W66" s="166"/>
    </row>
    <row r="67" spans="1:23">
      <c r="A67" t="s">
        <v>582</v>
      </c>
      <c r="B67" t="str">
        <f>VLOOKUP($A67,'Price Table 8 Airbus'!$A:E,2,FALSE)</f>
        <v>Electrical Power - HW procurements</v>
      </c>
      <c r="C67" t="str">
        <f>VLOOKUP($A67,'Price Table 8 Airbus'!$A:AA,5,FALSE)</f>
        <v>MISSION</v>
      </c>
      <c r="D67" t="str">
        <f>VLOOKUP($A67,'Price Table 8 Airbus'!$A:AB,6,FALSE)</f>
        <v>Procurement</v>
      </c>
      <c r="E67" s="174" t="s">
        <v>686</v>
      </c>
      <c r="F67" s="171"/>
      <c r="G67" s="92" t="s">
        <v>688</v>
      </c>
      <c r="H67" s="92"/>
      <c r="I67" s="386">
        <f t="shared" si="23"/>
        <v>265.68</v>
      </c>
      <c r="J67" s="378"/>
      <c r="K67" s="173">
        <f t="shared" si="21"/>
        <v>0</v>
      </c>
      <c r="L67" s="173">
        <f t="shared" si="22"/>
        <v>0</v>
      </c>
      <c r="M67" s="173">
        <f t="shared" si="22"/>
        <v>0</v>
      </c>
      <c r="N67" s="173">
        <f t="shared" si="22"/>
        <v>0</v>
      </c>
      <c r="O67" s="173">
        <f t="shared" si="22"/>
        <v>106.27200000000001</v>
      </c>
      <c r="P67" s="173">
        <f t="shared" si="22"/>
        <v>0</v>
      </c>
      <c r="Q67" s="173">
        <f t="shared" si="22"/>
        <v>159.40799999999999</v>
      </c>
      <c r="R67" s="173">
        <f t="shared" si="22"/>
        <v>0</v>
      </c>
      <c r="S67" s="173">
        <f t="shared" si="22"/>
        <v>0</v>
      </c>
      <c r="T67" s="173">
        <f t="shared" si="22"/>
        <v>0</v>
      </c>
      <c r="U67" s="173">
        <f t="shared" si="22"/>
        <v>0</v>
      </c>
      <c r="W67" s="166"/>
    </row>
    <row r="68" spans="1:23">
      <c r="A68" t="s">
        <v>587</v>
      </c>
      <c r="B68" t="str">
        <f>VLOOKUP($A68,'Price Table 8 Airbus'!$A:E,2,FALSE)</f>
        <v>Communications - HW procurements</v>
      </c>
      <c r="C68" t="str">
        <f>VLOOKUP($A68,'Price Table 8 Airbus'!$A:AA,5,FALSE)</f>
        <v>MISSION</v>
      </c>
      <c r="D68" t="str">
        <f>VLOOKUP($A68,'Price Table 8 Airbus'!$A:AB,6,FALSE)</f>
        <v>Procurement</v>
      </c>
      <c r="E68" s="174" t="s">
        <v>689</v>
      </c>
      <c r="F68" s="171"/>
      <c r="G68" s="92" t="s">
        <v>690</v>
      </c>
      <c r="H68" s="92"/>
      <c r="I68" s="386">
        <f t="shared" si="23"/>
        <v>577.85400000000004</v>
      </c>
      <c r="J68" s="378"/>
      <c r="K68" s="173">
        <f t="shared" si="21"/>
        <v>0</v>
      </c>
      <c r="L68" s="173">
        <f t="shared" si="22"/>
        <v>288.92700000000002</v>
      </c>
      <c r="M68" s="173">
        <f t="shared" si="22"/>
        <v>0</v>
      </c>
      <c r="N68" s="173">
        <f t="shared" si="22"/>
        <v>0</v>
      </c>
      <c r="O68" s="173">
        <f t="shared" si="22"/>
        <v>0</v>
      </c>
      <c r="P68" s="173">
        <f t="shared" si="22"/>
        <v>0</v>
      </c>
      <c r="Q68" s="173">
        <f t="shared" si="22"/>
        <v>288.92700000000002</v>
      </c>
      <c r="R68" s="173">
        <f t="shared" si="22"/>
        <v>0</v>
      </c>
      <c r="S68" s="173">
        <f t="shared" si="22"/>
        <v>0</v>
      </c>
      <c r="T68" s="173">
        <f t="shared" si="22"/>
        <v>0</v>
      </c>
      <c r="U68" s="173">
        <f t="shared" si="22"/>
        <v>0</v>
      </c>
      <c r="W68" s="166"/>
    </row>
    <row r="69" spans="1:23">
      <c r="A69" t="s">
        <v>582</v>
      </c>
      <c r="B69" t="str">
        <f>VLOOKUP($A69,'Price Table 8 Airbus'!$A:E,2,FALSE)</f>
        <v>Electrical Power - HW procurements</v>
      </c>
      <c r="C69" t="str">
        <f>VLOOKUP($A69,'Price Table 8 Airbus'!$A:AA,5,FALSE)</f>
        <v>MISSION</v>
      </c>
      <c r="D69" t="str">
        <f>VLOOKUP($A69,'Price Table 8 Airbus'!$A:AB,6,FALSE)</f>
        <v>Procurement</v>
      </c>
      <c r="E69" s="174" t="s">
        <v>675</v>
      </c>
      <c r="F69" s="171"/>
      <c r="G69" s="92" t="s">
        <v>691</v>
      </c>
      <c r="H69" s="92"/>
      <c r="I69" s="386">
        <f t="shared" si="23"/>
        <v>132.84</v>
      </c>
      <c r="J69" s="378"/>
      <c r="K69" s="173">
        <f t="shared" si="21"/>
        <v>0</v>
      </c>
      <c r="L69" s="173">
        <f t="shared" si="22"/>
        <v>66.42</v>
      </c>
      <c r="M69" s="173">
        <f t="shared" si="22"/>
        <v>66.42</v>
      </c>
      <c r="N69" s="173">
        <f t="shared" si="22"/>
        <v>0</v>
      </c>
      <c r="O69" s="173">
        <f t="shared" si="22"/>
        <v>0</v>
      </c>
      <c r="P69" s="173">
        <f t="shared" si="22"/>
        <v>0</v>
      </c>
      <c r="Q69" s="173">
        <f t="shared" si="22"/>
        <v>0</v>
      </c>
      <c r="R69" s="173">
        <f t="shared" si="22"/>
        <v>0</v>
      </c>
      <c r="S69" s="173">
        <f t="shared" si="22"/>
        <v>0</v>
      </c>
      <c r="T69" s="173">
        <f t="shared" si="22"/>
        <v>0</v>
      </c>
      <c r="U69" s="173">
        <f t="shared" si="22"/>
        <v>0</v>
      </c>
      <c r="W69" s="166"/>
    </row>
    <row r="70" spans="1:23" ht="15.75" thickBot="1">
      <c r="A70" t="s">
        <v>582</v>
      </c>
      <c r="B70" t="str">
        <f>VLOOKUP($A70,'Price Table 8 Airbus'!$A:E,2,FALSE)</f>
        <v>Electrical Power - HW procurements</v>
      </c>
      <c r="C70" t="str">
        <f>VLOOKUP($A70,'Price Table 8 Airbus'!$A:AA,5,FALSE)</f>
        <v>MISSION</v>
      </c>
      <c r="D70" t="str">
        <f>VLOOKUP($A70,'Price Table 8 Airbus'!$A:AB,6,FALSE)</f>
        <v>Procurement</v>
      </c>
      <c r="E70" s="174" t="s">
        <v>675</v>
      </c>
      <c r="F70" s="171"/>
      <c r="G70" s="368" t="s">
        <v>692</v>
      </c>
      <c r="H70" s="92"/>
      <c r="I70" s="386">
        <f t="shared" si="23"/>
        <v>66.42</v>
      </c>
      <c r="J70" s="380"/>
      <c r="K70" s="173">
        <f t="shared" si="21"/>
        <v>0</v>
      </c>
      <c r="L70" s="173">
        <f t="shared" si="22"/>
        <v>0</v>
      </c>
      <c r="M70" s="173">
        <f t="shared" si="22"/>
        <v>26.568000000000001</v>
      </c>
      <c r="N70" s="173">
        <f t="shared" si="22"/>
        <v>39.851999999999997</v>
      </c>
      <c r="O70" s="173">
        <f t="shared" si="22"/>
        <v>0</v>
      </c>
      <c r="P70" s="173">
        <f t="shared" si="22"/>
        <v>0</v>
      </c>
      <c r="Q70" s="173">
        <f t="shared" si="22"/>
        <v>0</v>
      </c>
      <c r="R70" s="173">
        <f t="shared" si="22"/>
        <v>0</v>
      </c>
      <c r="S70" s="173">
        <f t="shared" si="22"/>
        <v>0</v>
      </c>
      <c r="T70" s="173">
        <f t="shared" si="22"/>
        <v>0</v>
      </c>
      <c r="U70" s="173">
        <f t="shared" si="22"/>
        <v>0</v>
      </c>
      <c r="W70" s="166"/>
    </row>
    <row r="71" spans="1:23" ht="15.75" thickBot="1">
      <c r="A71" t="s">
        <v>633</v>
      </c>
      <c r="B71" t="str">
        <f>VLOOKUP($A71,'Price Table 8 Airbus'!$A:E,2,FALSE)</f>
        <v>Contingency</v>
      </c>
      <c r="C71">
        <f>VLOOKUP($A71,'Price Table 8 Airbus'!$A:AA,5,FALSE)</f>
        <v>0</v>
      </c>
      <c r="D71">
        <f>VLOOKUP($A71,'Price Table 8 Airbus'!$A:AB,6,FALSE)</f>
        <v>0</v>
      </c>
      <c r="F71" s="369" t="s">
        <v>623</v>
      </c>
      <c r="G71" s="367"/>
      <c r="H71" s="367"/>
      <c r="I71" s="387">
        <f>SUM(I86:I89)*0.2</f>
        <v>1243.8909200000003</v>
      </c>
      <c r="J71" s="381"/>
      <c r="K71" s="370">
        <f>SUM(K51:K57)/SUM($I$51:$I$57)*$I$71</f>
        <v>52.426390893751304</v>
      </c>
      <c r="L71" s="370">
        <f t="shared" ref="L71:T71" si="24">SUM(L51:L57)/SUM($I$51:$I$57)*$I$71</f>
        <v>164.4694459779804</v>
      </c>
      <c r="M71" s="370">
        <f t="shared" si="24"/>
        <v>184.37944842329668</v>
      </c>
      <c r="N71" s="370">
        <f t="shared" si="24"/>
        <v>78.241647103304715</v>
      </c>
      <c r="O71" s="370">
        <f t="shared" si="24"/>
        <v>263.00498561784286</v>
      </c>
      <c r="P71" s="370">
        <f t="shared" si="24"/>
        <v>182.49439476155544</v>
      </c>
      <c r="Q71" s="370">
        <f t="shared" si="24"/>
        <v>192.83888821678346</v>
      </c>
      <c r="R71" s="370">
        <f t="shared" si="24"/>
        <v>126.03571900548555</v>
      </c>
      <c r="S71" s="370">
        <f t="shared" si="24"/>
        <v>0</v>
      </c>
      <c r="T71" s="370">
        <f t="shared" si="24"/>
        <v>0</v>
      </c>
      <c r="U71" s="370">
        <f t="shared" ref="U71" si="25">SUM(U51:U57)*0.2</f>
        <v>0</v>
      </c>
      <c r="W71" s="166"/>
    </row>
    <row r="73" spans="1:23">
      <c r="H73" t="s">
        <v>13</v>
      </c>
      <c r="I73" s="114">
        <v>4730.8689999999997</v>
      </c>
      <c r="J73" s="114">
        <f>SUM(I51:I57)</f>
        <v>4975.5636800000002</v>
      </c>
      <c r="K73" s="122">
        <f>K71/(K51+K52+K53+K54+K55+K56+K57)</f>
        <v>0.25000000000000006</v>
      </c>
      <c r="L73" s="122">
        <f t="shared" ref="L73:R73" si="26">L71/(L51+L52+L53+L54+L55+L56+L57)</f>
        <v>0.25000000000000006</v>
      </c>
      <c r="M73" s="122">
        <f t="shared" si="26"/>
        <v>0.25000000000000006</v>
      </c>
      <c r="N73" s="122">
        <f t="shared" si="26"/>
        <v>0.25000000000000011</v>
      </c>
      <c r="O73" s="122">
        <f t="shared" si="26"/>
        <v>0.25000000000000006</v>
      </c>
      <c r="P73" s="122">
        <f t="shared" si="26"/>
        <v>0.25000000000000006</v>
      </c>
      <c r="Q73" s="122">
        <f t="shared" si="26"/>
        <v>0.25000000000000006</v>
      </c>
      <c r="R73" s="122">
        <f t="shared" si="26"/>
        <v>0.25000000000000006</v>
      </c>
    </row>
    <row r="74" spans="1:23">
      <c r="H74" t="s">
        <v>117</v>
      </c>
      <c r="I74" s="114">
        <f>SUM(I58:I59)</f>
        <v>3931.4780000000001</v>
      </c>
      <c r="J74">
        <f>J73/I104</f>
        <v>0.79999999999999993</v>
      </c>
    </row>
    <row r="75" spans="1:23">
      <c r="I75" s="514">
        <f>I71/(I49-I58)</f>
        <v>0.25000000000000006</v>
      </c>
    </row>
    <row r="77" spans="1:23" s="92" customFormat="1">
      <c r="F77" s="154" t="s">
        <v>529</v>
      </c>
    </row>
    <row r="78" spans="1:23" s="92" customFormat="1">
      <c r="F78" s="155" t="s">
        <v>530</v>
      </c>
      <c r="G78" s="156">
        <v>2019</v>
      </c>
      <c r="H78" s="157"/>
    </row>
    <row r="79" spans="1:23" s="92" customFormat="1">
      <c r="F79" s="155" t="s">
        <v>531</v>
      </c>
      <c r="G79" s="158" t="s">
        <v>532</v>
      </c>
      <c r="H79" s="157"/>
    </row>
    <row r="80" spans="1:23" s="92" customFormat="1" ht="15.75" thickBot="1"/>
    <row r="81" spans="5:18" s="92" customFormat="1" ht="15.75" thickBot="1">
      <c r="I81" s="159" t="s">
        <v>698</v>
      </c>
      <c r="J81" s="641">
        <v>2020</v>
      </c>
      <c r="K81" s="642"/>
      <c r="L81" s="641">
        <v>2021</v>
      </c>
      <c r="M81" s="642"/>
      <c r="N81" s="643">
        <v>2022</v>
      </c>
      <c r="O81" s="644"/>
      <c r="P81" s="159" t="s">
        <v>698</v>
      </c>
      <c r="Q81" s="92" t="s">
        <v>535</v>
      </c>
    </row>
    <row r="82" spans="5:18" s="92" customFormat="1" ht="44.25" customHeight="1">
      <c r="E82" s="160" t="s">
        <v>663</v>
      </c>
      <c r="F82" s="639" t="s">
        <v>542</v>
      </c>
      <c r="G82" s="640"/>
      <c r="H82" s="645"/>
      <c r="I82" s="161" t="s">
        <v>664</v>
      </c>
      <c r="J82" s="161" t="s">
        <v>665</v>
      </c>
      <c r="K82" s="161" t="s">
        <v>666</v>
      </c>
      <c r="L82" s="161" t="s">
        <v>665</v>
      </c>
      <c r="M82" s="161" t="s">
        <v>666</v>
      </c>
      <c r="N82" s="161" t="s">
        <v>665</v>
      </c>
      <c r="O82" s="161" t="s">
        <v>666</v>
      </c>
      <c r="P82" s="161"/>
    </row>
    <row r="83" spans="5:18" s="92" customFormat="1">
      <c r="F83" s="162" t="s">
        <v>552</v>
      </c>
      <c r="G83" s="163"/>
      <c r="H83" s="164"/>
      <c r="I83" s="165">
        <f>I84+I91+I103</f>
        <v>10150.733</v>
      </c>
      <c r="J83" s="165">
        <f t="shared" ref="J83:O83" si="27">J84+J91+J103</f>
        <v>1396.8589999999999</v>
      </c>
      <c r="K83" s="165">
        <f t="shared" si="27"/>
        <v>2943.6809999999996</v>
      </c>
      <c r="L83" s="165">
        <f t="shared" si="27"/>
        <v>3057.2240000000002</v>
      </c>
      <c r="M83" s="165">
        <f t="shared" si="27"/>
        <v>2121.5349999999999</v>
      </c>
      <c r="N83" s="165">
        <f t="shared" si="27"/>
        <v>631.4620000000001</v>
      </c>
      <c r="O83" s="165">
        <f t="shared" si="27"/>
        <v>0</v>
      </c>
      <c r="P83" s="165">
        <f>SUM(J83:O83)</f>
        <v>10150.760999999999</v>
      </c>
      <c r="Q83" s="166"/>
      <c r="R83" s="92" t="b">
        <f>SUM(J83:O83)=I83</f>
        <v>0</v>
      </c>
    </row>
    <row r="84" spans="5:18" s="92" customFormat="1">
      <c r="F84" s="167" t="s">
        <v>556</v>
      </c>
      <c r="G84" s="168"/>
      <c r="H84" s="169"/>
      <c r="I84" s="170">
        <f>SUM(I85:I90)</f>
        <v>6991.255000000001</v>
      </c>
      <c r="J84" s="170">
        <f t="shared" ref="J84:O84" si="28">SUM(J85:J90)</f>
        <v>372.23999999999984</v>
      </c>
      <c r="K84" s="170">
        <f t="shared" si="28"/>
        <v>2382.1309999999999</v>
      </c>
      <c r="L84" s="170">
        <f t="shared" si="28"/>
        <v>1971.1620000000003</v>
      </c>
      <c r="M84" s="170">
        <f t="shared" si="28"/>
        <v>1636.1030000000001</v>
      </c>
      <c r="N84" s="170">
        <f t="shared" si="28"/>
        <v>629.65100000000007</v>
      </c>
      <c r="O84" s="170">
        <f t="shared" si="28"/>
        <v>0</v>
      </c>
      <c r="P84" s="170">
        <f t="shared" ref="P84:P103" si="29">SUM(J84:O84)</f>
        <v>6991.2869999999994</v>
      </c>
      <c r="Q84" s="166"/>
    </row>
    <row r="85" spans="5:18" s="92" customFormat="1">
      <c r="E85" s="113"/>
      <c r="F85" s="171" t="s">
        <v>667</v>
      </c>
      <c r="H85" s="172"/>
      <c r="I85" s="173"/>
      <c r="J85" s="173"/>
      <c r="K85" s="173"/>
      <c r="L85" s="173"/>
      <c r="M85" s="173"/>
      <c r="N85" s="173"/>
      <c r="O85" s="173"/>
      <c r="P85" s="173">
        <f t="shared" si="29"/>
        <v>0</v>
      </c>
      <c r="Q85" s="166"/>
    </row>
    <row r="86" spans="5:18" s="92" customFormat="1">
      <c r="E86" s="174">
        <v>110400.1</v>
      </c>
      <c r="F86" s="171"/>
      <c r="G86" s="175" t="s">
        <v>558</v>
      </c>
      <c r="H86" s="172"/>
      <c r="I86" s="173">
        <v>1070.4000000000001</v>
      </c>
      <c r="J86" s="173">
        <v>51.734999999999999</v>
      </c>
      <c r="K86" s="173">
        <v>292.452</v>
      </c>
      <c r="L86" s="173">
        <v>299.29599999999999</v>
      </c>
      <c r="M86" s="173">
        <v>299.29599999999999</v>
      </c>
      <c r="N86" s="173">
        <v>127.62</v>
      </c>
      <c r="O86" s="173"/>
      <c r="P86" s="173">
        <f t="shared" si="29"/>
        <v>1070.3989999999999</v>
      </c>
      <c r="Q86" s="166"/>
    </row>
    <row r="87" spans="5:18" s="92" customFormat="1">
      <c r="E87" s="174">
        <v>130400.1</v>
      </c>
      <c r="F87" s="171"/>
      <c r="G87" s="175" t="s">
        <v>559</v>
      </c>
      <c r="H87" s="172"/>
      <c r="I87" s="173">
        <v>421.46899999999999</v>
      </c>
      <c r="J87" s="173">
        <v>31.385000000000002</v>
      </c>
      <c r="K87" s="173">
        <v>182.52799999999999</v>
      </c>
      <c r="L87" s="173">
        <v>126.599</v>
      </c>
      <c r="M87" s="173">
        <v>53.526000000000003</v>
      </c>
      <c r="N87" s="173">
        <v>27.431000000000001</v>
      </c>
      <c r="O87" s="173"/>
      <c r="P87" s="173">
        <f t="shared" si="29"/>
        <v>421.46899999999999</v>
      </c>
      <c r="Q87" s="166"/>
    </row>
    <row r="88" spans="5:18" s="92" customFormat="1" ht="67.5" customHeight="1">
      <c r="E88" s="366" t="s">
        <v>668</v>
      </c>
      <c r="F88" s="171"/>
      <c r="G88" s="646" t="s">
        <v>669</v>
      </c>
      <c r="H88" s="647"/>
      <c r="I88" s="173">
        <v>3239.4549999999999</v>
      </c>
      <c r="J88" s="173">
        <v>149.34899999999985</v>
      </c>
      <c r="K88" s="173">
        <v>1024.027</v>
      </c>
      <c r="L88" s="173">
        <v>1245.1530000000002</v>
      </c>
      <c r="M88" s="173">
        <v>542.06499999999994</v>
      </c>
      <c r="N88" s="173">
        <v>278.89400000000001</v>
      </c>
      <c r="O88" s="173"/>
      <c r="P88" s="173">
        <f t="shared" si="29"/>
        <v>3239.4880000000003</v>
      </c>
      <c r="Q88" s="166"/>
    </row>
    <row r="89" spans="5:18" s="92" customFormat="1">
      <c r="E89" s="174" t="s">
        <v>675</v>
      </c>
      <c r="F89" s="171" t="s">
        <v>676</v>
      </c>
      <c r="H89" s="172"/>
      <c r="I89" s="173">
        <v>1488.1306000000002</v>
      </c>
      <c r="J89" s="173">
        <v>29.513999999999999</v>
      </c>
      <c r="K89" s="173">
        <v>221.58</v>
      </c>
      <c r="L89" s="173">
        <v>300.11399999999998</v>
      </c>
      <c r="M89" s="173">
        <v>741.21600000000001</v>
      </c>
      <c r="N89" s="173">
        <v>195.70599999999999</v>
      </c>
      <c r="O89" s="173"/>
      <c r="P89" s="173">
        <f t="shared" si="29"/>
        <v>1488.1299999999999</v>
      </c>
      <c r="Q89" s="166"/>
    </row>
    <row r="90" spans="5:18" s="92" customFormat="1">
      <c r="E90" s="174" t="s">
        <v>675</v>
      </c>
      <c r="F90" s="176" t="s">
        <v>678</v>
      </c>
      <c r="G90" s="177"/>
      <c r="H90" s="178"/>
      <c r="I90" s="173">
        <v>771.80039999999997</v>
      </c>
      <c r="J90" s="173">
        <v>110.25700000000001</v>
      </c>
      <c r="K90" s="173">
        <v>661.54399999999998</v>
      </c>
      <c r="L90" s="173">
        <v>0</v>
      </c>
      <c r="M90" s="173">
        <v>0</v>
      </c>
      <c r="N90" s="173">
        <v>0</v>
      </c>
      <c r="O90" s="173"/>
      <c r="P90" s="173">
        <f t="shared" si="29"/>
        <v>771.80099999999993</v>
      </c>
      <c r="Q90" s="166"/>
    </row>
    <row r="91" spans="5:18" s="92" customFormat="1">
      <c r="E91" s="174"/>
      <c r="F91" s="167" t="s">
        <v>570</v>
      </c>
      <c r="G91" s="168"/>
      <c r="H91" s="169"/>
      <c r="I91" s="170">
        <f>SUM(I93:I102)</f>
        <v>3159.4780000000001</v>
      </c>
      <c r="J91" s="170">
        <f t="shared" ref="J91:O91" si="30">SUM(J93:J102)</f>
        <v>1024.6190000000001</v>
      </c>
      <c r="K91" s="170">
        <f t="shared" si="30"/>
        <v>561.54999999999995</v>
      </c>
      <c r="L91" s="170">
        <f t="shared" si="30"/>
        <v>1086.0620000000001</v>
      </c>
      <c r="M91" s="170">
        <f t="shared" si="30"/>
        <v>485.43200000000002</v>
      </c>
      <c r="N91" s="170">
        <f t="shared" si="30"/>
        <v>1.8109999999999999</v>
      </c>
      <c r="O91" s="170">
        <f t="shared" si="30"/>
        <v>0</v>
      </c>
      <c r="P91" s="170">
        <f t="shared" si="29"/>
        <v>3159.4740000000006</v>
      </c>
      <c r="Q91" s="166"/>
    </row>
    <row r="92" spans="5:18" s="92" customFormat="1">
      <c r="E92" s="174"/>
      <c r="F92" s="167" t="s">
        <v>679</v>
      </c>
      <c r="G92" s="168"/>
      <c r="H92" s="172"/>
      <c r="I92" s="173"/>
      <c r="J92" s="173"/>
      <c r="K92" s="173"/>
      <c r="L92" s="173"/>
      <c r="M92" s="173"/>
      <c r="N92" s="173"/>
      <c r="O92" s="173"/>
      <c r="P92" s="173">
        <f t="shared" si="29"/>
        <v>0</v>
      </c>
      <c r="Q92" s="166"/>
    </row>
    <row r="93" spans="5:18" s="92" customFormat="1">
      <c r="E93" s="174"/>
      <c r="F93" s="171" t="s">
        <v>680</v>
      </c>
      <c r="H93" s="172"/>
      <c r="I93" s="173"/>
      <c r="J93" s="173"/>
      <c r="K93" s="173"/>
      <c r="L93" s="173"/>
      <c r="M93" s="173"/>
      <c r="N93" s="173"/>
      <c r="O93" s="173"/>
      <c r="P93" s="173">
        <f t="shared" si="29"/>
        <v>0</v>
      </c>
      <c r="Q93" s="166"/>
    </row>
    <row r="94" spans="5:18" s="92" customFormat="1">
      <c r="E94" s="179" t="s">
        <v>681</v>
      </c>
      <c r="F94" s="171"/>
      <c r="G94" s="92" t="s">
        <v>682</v>
      </c>
      <c r="H94" s="172"/>
      <c r="I94" s="173">
        <v>544.64400000000001</v>
      </c>
      <c r="J94" s="173">
        <v>133.44399999999999</v>
      </c>
      <c r="K94" s="173">
        <v>269.30200000000002</v>
      </c>
      <c r="L94" s="173">
        <v>136.46199999999999</v>
      </c>
      <c r="M94" s="173">
        <v>3.6219999999999999</v>
      </c>
      <c r="N94" s="173">
        <v>1.8109999999999999</v>
      </c>
      <c r="O94" s="173"/>
      <c r="P94" s="173">
        <f t="shared" si="29"/>
        <v>544.64099999999996</v>
      </c>
      <c r="Q94" s="166"/>
    </row>
    <row r="95" spans="5:18" s="92" customFormat="1">
      <c r="E95" s="179" t="s">
        <v>681</v>
      </c>
      <c r="F95" s="171"/>
      <c r="G95" s="92" t="s">
        <v>683</v>
      </c>
      <c r="H95" s="172"/>
      <c r="I95" s="173">
        <v>1104.443</v>
      </c>
      <c r="J95" s="173">
        <v>441.77699999999999</v>
      </c>
      <c r="K95" s="173">
        <v>0</v>
      </c>
      <c r="L95" s="173">
        <v>662.66600000000005</v>
      </c>
      <c r="M95" s="173">
        <v>0</v>
      </c>
      <c r="N95" s="173">
        <v>0</v>
      </c>
      <c r="O95" s="173"/>
      <c r="P95" s="173">
        <f t="shared" si="29"/>
        <v>1104.443</v>
      </c>
      <c r="Q95" s="166"/>
    </row>
    <row r="96" spans="5:18" s="92" customFormat="1">
      <c r="E96" s="179" t="s">
        <v>681</v>
      </c>
      <c r="F96" s="171"/>
      <c r="G96" s="92" t="s">
        <v>684</v>
      </c>
      <c r="H96" s="172"/>
      <c r="I96" s="173">
        <v>79.703999999999994</v>
      </c>
      <c r="J96" s="173">
        <v>31.882000000000001</v>
      </c>
      <c r="K96" s="173">
        <v>0</v>
      </c>
      <c r="L96" s="173">
        <v>47.822000000000003</v>
      </c>
      <c r="M96" s="173">
        <v>0</v>
      </c>
      <c r="N96" s="173">
        <v>0</v>
      </c>
      <c r="O96" s="173"/>
      <c r="P96" s="173">
        <f t="shared" si="29"/>
        <v>79.704000000000008</v>
      </c>
      <c r="Q96" s="166"/>
    </row>
    <row r="97" spans="5:18" s="92" customFormat="1">
      <c r="E97" s="179" t="s">
        <v>681</v>
      </c>
      <c r="F97" s="171"/>
      <c r="G97" s="92" t="s">
        <v>685</v>
      </c>
      <c r="H97" s="172"/>
      <c r="I97" s="173">
        <v>321.47300000000001</v>
      </c>
      <c r="J97" s="173">
        <v>128.589</v>
      </c>
      <c r="K97" s="173">
        <v>0</v>
      </c>
      <c r="L97" s="173">
        <v>0</v>
      </c>
      <c r="M97" s="173">
        <v>192.88300000000001</v>
      </c>
      <c r="N97" s="173">
        <v>0</v>
      </c>
      <c r="O97" s="173"/>
      <c r="P97" s="173">
        <f t="shared" si="29"/>
        <v>321.47199999999998</v>
      </c>
      <c r="Q97" s="166"/>
    </row>
    <row r="98" spans="5:18" s="92" customFormat="1">
      <c r="E98" s="174" t="s">
        <v>686</v>
      </c>
      <c r="F98" s="171"/>
      <c r="G98" s="92" t="s">
        <v>687</v>
      </c>
      <c r="H98" s="172"/>
      <c r="I98" s="173">
        <v>66.42</v>
      </c>
      <c r="J98" s="173">
        <v>0</v>
      </c>
      <c r="K98" s="173">
        <v>26.568000000000001</v>
      </c>
      <c r="L98" s="173">
        <v>39.851999999999997</v>
      </c>
      <c r="M98" s="173">
        <v>0</v>
      </c>
      <c r="N98" s="173">
        <v>0</v>
      </c>
      <c r="O98" s="173"/>
      <c r="P98" s="173">
        <f t="shared" si="29"/>
        <v>66.42</v>
      </c>
      <c r="Q98" s="166"/>
    </row>
    <row r="99" spans="5:18" s="92" customFormat="1">
      <c r="E99" s="174" t="s">
        <v>686</v>
      </c>
      <c r="F99" s="171"/>
      <c r="G99" s="92" t="s">
        <v>688</v>
      </c>
      <c r="H99" s="172"/>
      <c r="I99" s="173">
        <v>265.68</v>
      </c>
      <c r="J99" s="173">
        <v>0</v>
      </c>
      <c r="K99" s="173">
        <v>106.27200000000001</v>
      </c>
      <c r="L99" s="173">
        <v>159.40799999999999</v>
      </c>
      <c r="M99" s="173">
        <v>0</v>
      </c>
      <c r="N99" s="173">
        <v>0</v>
      </c>
      <c r="O99" s="173"/>
      <c r="P99" s="173">
        <f t="shared" si="29"/>
        <v>265.68</v>
      </c>
      <c r="Q99" s="166"/>
    </row>
    <row r="100" spans="5:18" s="92" customFormat="1">
      <c r="E100" s="174" t="s">
        <v>689</v>
      </c>
      <c r="F100" s="171"/>
      <c r="G100" s="92" t="s">
        <v>690</v>
      </c>
      <c r="H100" s="172"/>
      <c r="I100" s="173">
        <v>577.85400000000004</v>
      </c>
      <c r="J100" s="173">
        <v>288.92700000000002</v>
      </c>
      <c r="K100" s="173">
        <v>0</v>
      </c>
      <c r="L100" s="173">
        <v>0</v>
      </c>
      <c r="M100" s="173">
        <v>288.92700000000002</v>
      </c>
      <c r="N100" s="173">
        <v>0</v>
      </c>
      <c r="O100" s="173"/>
      <c r="P100" s="173">
        <f t="shared" si="29"/>
        <v>577.85400000000004</v>
      </c>
      <c r="Q100" s="166"/>
    </row>
    <row r="101" spans="5:18" s="92" customFormat="1">
      <c r="E101" s="174" t="s">
        <v>675</v>
      </c>
      <c r="F101" s="171"/>
      <c r="G101" s="92" t="s">
        <v>691</v>
      </c>
      <c r="H101" s="172"/>
      <c r="I101" s="173">
        <v>132.84</v>
      </c>
      <c r="J101" s="173">
        <v>0</v>
      </c>
      <c r="K101" s="173">
        <v>132.84</v>
      </c>
      <c r="L101" s="173">
        <v>0</v>
      </c>
      <c r="M101" s="173">
        <v>0</v>
      </c>
      <c r="N101" s="173">
        <v>0</v>
      </c>
      <c r="O101" s="173"/>
      <c r="P101" s="173">
        <f t="shared" si="29"/>
        <v>132.84</v>
      </c>
      <c r="Q101" s="166"/>
    </row>
    <row r="102" spans="5:18" s="92" customFormat="1">
      <c r="E102" s="174" t="s">
        <v>675</v>
      </c>
      <c r="F102" s="176"/>
      <c r="G102" s="180" t="s">
        <v>692</v>
      </c>
      <c r="H102" s="178"/>
      <c r="I102" s="173">
        <v>66.42</v>
      </c>
      <c r="J102" s="173">
        <v>0</v>
      </c>
      <c r="K102" s="173">
        <v>26.568000000000001</v>
      </c>
      <c r="L102" s="173">
        <v>39.851999999999997</v>
      </c>
      <c r="M102" s="173">
        <v>0</v>
      </c>
      <c r="N102" s="173">
        <v>0</v>
      </c>
      <c r="O102" s="173"/>
      <c r="P102" s="173">
        <f t="shared" si="29"/>
        <v>66.42</v>
      </c>
      <c r="Q102" s="166"/>
    </row>
    <row r="103" spans="5:18" s="92" customFormat="1">
      <c r="F103" s="159" t="s">
        <v>623</v>
      </c>
      <c r="G103" s="181"/>
      <c r="H103" s="182"/>
      <c r="I103" s="183">
        <v>0</v>
      </c>
      <c r="J103" s="183">
        <v>0</v>
      </c>
      <c r="K103" s="183">
        <v>0</v>
      </c>
      <c r="L103" s="183">
        <v>0</v>
      </c>
      <c r="M103" s="183">
        <v>0</v>
      </c>
      <c r="N103" s="183">
        <v>0</v>
      </c>
      <c r="O103" s="183">
        <v>0</v>
      </c>
      <c r="P103" s="183">
        <f t="shared" si="29"/>
        <v>0</v>
      </c>
      <c r="Q103" s="166"/>
    </row>
    <row r="104" spans="5:18">
      <c r="I104" s="114">
        <f>SUM(I86:I89)</f>
        <v>6219.4546000000009</v>
      </c>
    </row>
    <row r="106" spans="5:18">
      <c r="H106" t="s">
        <v>699</v>
      </c>
      <c r="I106">
        <v>1650</v>
      </c>
      <c r="J106">
        <f>I106/4</f>
        <v>412.5</v>
      </c>
    </row>
    <row r="108" spans="5:18" ht="17.25">
      <c r="H108" s="141"/>
      <c r="I108" s="142"/>
      <c r="J108" s="355" t="s">
        <v>700</v>
      </c>
      <c r="K108" s="355" t="s">
        <v>701</v>
      </c>
      <c r="L108" s="356" t="s">
        <v>702</v>
      </c>
      <c r="M108" s="356" t="s">
        <v>703</v>
      </c>
      <c r="N108" s="356" t="s">
        <v>704</v>
      </c>
      <c r="O108" s="356" t="s">
        <v>705</v>
      </c>
      <c r="P108" s="356" t="s">
        <v>706</v>
      </c>
      <c r="Q108" s="357" t="s">
        <v>707</v>
      </c>
      <c r="R108" s="143" t="s">
        <v>708</v>
      </c>
    </row>
    <row r="109" spans="5:18" ht="17.25">
      <c r="H109" s="144" t="s">
        <v>709</v>
      </c>
      <c r="I109" s="145" t="s">
        <v>710</v>
      </c>
      <c r="J109" s="358" t="s">
        <v>703</v>
      </c>
      <c r="K109" s="358" t="s">
        <v>704</v>
      </c>
      <c r="L109" s="358" t="s">
        <v>705</v>
      </c>
      <c r="M109" s="358" t="s">
        <v>706</v>
      </c>
      <c r="N109" s="358" t="s">
        <v>707</v>
      </c>
      <c r="O109" s="359" t="s">
        <v>711</v>
      </c>
      <c r="P109" s="359" t="s">
        <v>712</v>
      </c>
      <c r="Q109" s="360" t="s">
        <v>713</v>
      </c>
      <c r="R109" s="143" t="s">
        <v>714</v>
      </c>
    </row>
    <row r="110" spans="5:18">
      <c r="H110" s="146" t="s">
        <v>715</v>
      </c>
      <c r="I110" s="147">
        <v>34516</v>
      </c>
      <c r="J110" s="148">
        <v>1505</v>
      </c>
      <c r="K110" s="148">
        <v>4732</v>
      </c>
      <c r="L110" s="148">
        <v>5221</v>
      </c>
      <c r="M110" s="148">
        <v>6262</v>
      </c>
      <c r="N110" s="148">
        <v>3704</v>
      </c>
      <c r="O110" s="148">
        <v>4830</v>
      </c>
      <c r="P110" s="148">
        <v>5194</v>
      </c>
      <c r="Q110" s="148">
        <v>3070</v>
      </c>
    </row>
    <row r="111" spans="5:18">
      <c r="H111" s="149" t="s">
        <v>716</v>
      </c>
      <c r="I111" s="147">
        <v>5574409</v>
      </c>
      <c r="J111" s="148">
        <v>242690</v>
      </c>
      <c r="K111" s="148">
        <v>761426</v>
      </c>
      <c r="L111" s="148">
        <v>835254</v>
      </c>
      <c r="M111" s="148">
        <v>1009152</v>
      </c>
      <c r="N111" s="148">
        <v>605065</v>
      </c>
      <c r="O111" s="148">
        <v>776121</v>
      </c>
      <c r="P111" s="148">
        <v>831257</v>
      </c>
      <c r="Q111" s="148">
        <v>513445</v>
      </c>
    </row>
    <row r="112" spans="5:18">
      <c r="H112" s="149" t="s">
        <v>717</v>
      </c>
      <c r="I112" s="147">
        <v>67916</v>
      </c>
      <c r="J112" s="148">
        <v>339</v>
      </c>
      <c r="K112" s="148">
        <v>1356</v>
      </c>
      <c r="L112" s="148">
        <v>1356</v>
      </c>
      <c r="M112" s="148"/>
      <c r="N112" s="148">
        <v>11253</v>
      </c>
      <c r="O112" s="148">
        <v>16394</v>
      </c>
      <c r="P112" s="148">
        <v>26016</v>
      </c>
      <c r="Q112" s="148">
        <v>11202</v>
      </c>
    </row>
    <row r="113" spans="8:17">
      <c r="H113" s="149" t="s">
        <v>718</v>
      </c>
      <c r="I113" s="150"/>
      <c r="J113" s="151"/>
      <c r="K113" s="151"/>
      <c r="L113" s="151"/>
      <c r="M113" s="151"/>
      <c r="N113" s="151"/>
      <c r="O113" s="151"/>
      <c r="P113" s="151"/>
      <c r="Q113" s="151"/>
    </row>
    <row r="114" spans="8:17">
      <c r="H114" s="323" t="s">
        <v>29</v>
      </c>
      <c r="I114" s="150"/>
      <c r="J114" s="324">
        <f t="shared" ref="J114:Q114" si="31">J110/$J106</f>
        <v>3.6484848484848484</v>
      </c>
      <c r="K114" s="324">
        <f t="shared" si="31"/>
        <v>11.471515151515151</v>
      </c>
      <c r="L114" s="324">
        <f t="shared" si="31"/>
        <v>12.656969696969696</v>
      </c>
      <c r="M114" s="324">
        <f t="shared" si="31"/>
        <v>15.18060606060606</v>
      </c>
      <c r="N114" s="324">
        <f t="shared" si="31"/>
        <v>8.9793939393939386</v>
      </c>
      <c r="O114" s="324">
        <f t="shared" si="31"/>
        <v>11.709090909090909</v>
      </c>
      <c r="P114" s="324">
        <f t="shared" si="31"/>
        <v>12.591515151515152</v>
      </c>
      <c r="Q114" s="324">
        <f t="shared" si="31"/>
        <v>7.4424242424242424</v>
      </c>
    </row>
    <row r="115" spans="8:17">
      <c r="H115" s="149" t="s">
        <v>719</v>
      </c>
      <c r="I115" s="147">
        <v>714630</v>
      </c>
      <c r="J115" s="148">
        <v>102090</v>
      </c>
      <c r="K115" s="148">
        <v>306270</v>
      </c>
      <c r="L115" s="148">
        <v>306270</v>
      </c>
      <c r="M115" s="148"/>
      <c r="N115" s="148"/>
      <c r="O115" s="148"/>
      <c r="P115" s="148"/>
      <c r="Q115" s="148"/>
    </row>
    <row r="116" spans="8:17">
      <c r="H116" s="149" t="s">
        <v>720</v>
      </c>
      <c r="I116" s="150"/>
      <c r="J116" s="148"/>
      <c r="K116" s="148"/>
      <c r="L116" s="148"/>
      <c r="M116" s="148"/>
      <c r="N116" s="148"/>
      <c r="O116" s="148"/>
      <c r="P116" s="148"/>
      <c r="Q116" s="148"/>
    </row>
    <row r="117" spans="8:17">
      <c r="H117" s="149" t="s">
        <v>721</v>
      </c>
      <c r="I117" s="147">
        <v>2925443</v>
      </c>
      <c r="J117" s="148">
        <v>948721</v>
      </c>
      <c r="K117" s="148">
        <v>333777</v>
      </c>
      <c r="L117" s="148">
        <v>186177</v>
      </c>
      <c r="M117" s="148">
        <v>75477</v>
      </c>
      <c r="N117" s="148">
        <v>1078967</v>
      </c>
      <c r="O117" s="148">
        <v>298968</v>
      </c>
      <c r="P117" s="148">
        <v>1677</v>
      </c>
      <c r="Q117" s="148">
        <v>1677</v>
      </c>
    </row>
    <row r="118" spans="8:17">
      <c r="H118" s="149" t="s">
        <v>722</v>
      </c>
      <c r="I118" s="150"/>
      <c r="J118" s="151"/>
      <c r="K118" s="151"/>
      <c r="L118" s="151"/>
      <c r="M118" s="151"/>
      <c r="N118" s="151"/>
      <c r="O118" s="151"/>
      <c r="P118" s="151"/>
      <c r="Q118" s="151"/>
    </row>
    <row r="119" spans="8:17">
      <c r="H119" s="149" t="s">
        <v>723</v>
      </c>
      <c r="I119" s="150">
        <v>25625</v>
      </c>
      <c r="J119" s="151"/>
      <c r="K119" s="151"/>
      <c r="L119" s="151"/>
      <c r="M119" s="151"/>
      <c r="N119" s="151"/>
      <c r="O119" s="151"/>
      <c r="P119" s="151"/>
      <c r="Q119" s="151">
        <v>25625</v>
      </c>
    </row>
    <row r="120" spans="8:17">
      <c r="H120" s="149" t="s">
        <v>724</v>
      </c>
      <c r="I120" s="150">
        <v>44506</v>
      </c>
      <c r="J120" s="151">
        <v>776</v>
      </c>
      <c r="K120" s="151">
        <v>2329</v>
      </c>
      <c r="L120" s="151">
        <v>2329</v>
      </c>
      <c r="M120" s="151">
        <v>2329</v>
      </c>
      <c r="N120" s="151">
        <v>2329</v>
      </c>
      <c r="O120" s="151">
        <v>2329</v>
      </c>
      <c r="P120" s="151">
        <v>2329</v>
      </c>
      <c r="Q120" s="151">
        <v>29758</v>
      </c>
    </row>
    <row r="121" spans="8:17">
      <c r="H121" s="149" t="s">
        <v>725</v>
      </c>
      <c r="I121" s="150"/>
      <c r="J121" s="151"/>
      <c r="K121" s="151"/>
      <c r="L121" s="151"/>
      <c r="M121" s="151"/>
      <c r="N121" s="151"/>
      <c r="O121" s="151"/>
      <c r="P121" s="151"/>
      <c r="Q121" s="151"/>
    </row>
    <row r="122" spans="8:17">
      <c r="H122" s="149" t="s">
        <v>726</v>
      </c>
      <c r="I122" s="147">
        <v>3710204</v>
      </c>
      <c r="J122" s="148">
        <v>1051588</v>
      </c>
      <c r="K122" s="148">
        <v>642376</v>
      </c>
      <c r="L122" s="148">
        <v>494776</v>
      </c>
      <c r="M122" s="148">
        <v>77806</v>
      </c>
      <c r="N122" s="148">
        <v>1081296</v>
      </c>
      <c r="O122" s="148">
        <v>301297</v>
      </c>
      <c r="P122" s="148">
        <v>4006</v>
      </c>
      <c r="Q122" s="148">
        <v>57060</v>
      </c>
    </row>
    <row r="123" spans="8:17">
      <c r="H123" s="149" t="s">
        <v>727</v>
      </c>
      <c r="I123" s="150"/>
      <c r="J123" s="151"/>
      <c r="K123" s="151"/>
      <c r="L123" s="151"/>
      <c r="M123" s="151"/>
      <c r="N123" s="151"/>
      <c r="O123" s="151"/>
      <c r="P123" s="151"/>
      <c r="Q123" s="151"/>
    </row>
    <row r="124" spans="8:17">
      <c r="H124" s="149" t="s">
        <v>728</v>
      </c>
      <c r="I124" s="147">
        <v>9352529</v>
      </c>
      <c r="J124" s="148">
        <v>1294616</v>
      </c>
      <c r="K124" s="148">
        <v>1405158</v>
      </c>
      <c r="L124" s="148">
        <v>1331387</v>
      </c>
      <c r="M124" s="148">
        <v>1086957</v>
      </c>
      <c r="N124" s="148">
        <v>1697613</v>
      </c>
      <c r="O124" s="148">
        <v>1093811</v>
      </c>
      <c r="P124" s="148">
        <v>861280</v>
      </c>
      <c r="Q124" s="148">
        <v>581707</v>
      </c>
    </row>
    <row r="125" spans="8:17">
      <c r="H125" s="149" t="s">
        <v>729</v>
      </c>
      <c r="I125" s="150"/>
      <c r="J125" s="151"/>
      <c r="K125" s="151"/>
      <c r="L125" s="151"/>
      <c r="M125" s="151"/>
      <c r="N125" s="151"/>
      <c r="O125" s="151"/>
      <c r="P125" s="151"/>
      <c r="Q125" s="151"/>
    </row>
    <row r="126" spans="8:17">
      <c r="H126" s="149" t="s">
        <v>730</v>
      </c>
      <c r="I126" s="147">
        <v>9352529</v>
      </c>
      <c r="J126" s="148">
        <v>1294616</v>
      </c>
      <c r="K126" s="148">
        <v>1405158</v>
      </c>
      <c r="L126" s="148">
        <v>1331387</v>
      </c>
      <c r="M126" s="148">
        <v>1086957</v>
      </c>
      <c r="N126" s="148">
        <v>1697613</v>
      </c>
      <c r="O126" s="148">
        <v>1093811</v>
      </c>
      <c r="P126" s="148">
        <v>861280</v>
      </c>
      <c r="Q126" s="148">
        <v>581707</v>
      </c>
    </row>
    <row r="127" spans="8:17">
      <c r="H127" s="149" t="s">
        <v>731</v>
      </c>
      <c r="I127" s="147">
        <v>748202</v>
      </c>
      <c r="J127" s="151">
        <v>103.569</v>
      </c>
      <c r="K127" s="151">
        <v>112.413</v>
      </c>
      <c r="L127" s="151">
        <v>106.511</v>
      </c>
      <c r="M127" s="151">
        <v>86.956999999999994</v>
      </c>
      <c r="N127" s="151">
        <v>135809</v>
      </c>
      <c r="O127" s="151">
        <v>87505</v>
      </c>
      <c r="P127" s="151">
        <v>68902</v>
      </c>
      <c r="Q127" s="151">
        <v>46537</v>
      </c>
    </row>
    <row r="128" spans="8:17">
      <c r="H128" s="149" t="s">
        <v>732</v>
      </c>
      <c r="I128" s="147">
        <v>50000</v>
      </c>
      <c r="J128" s="148">
        <v>2273</v>
      </c>
      <c r="K128" s="148">
        <v>6818</v>
      </c>
      <c r="L128" s="148">
        <v>6818</v>
      </c>
      <c r="M128" s="148">
        <v>6818</v>
      </c>
      <c r="N128" s="148">
        <v>6818</v>
      </c>
      <c r="O128" s="148">
        <v>6818</v>
      </c>
      <c r="P128" s="148">
        <v>6818</v>
      </c>
      <c r="Q128" s="148">
        <v>6818</v>
      </c>
    </row>
    <row r="129" spans="8:17">
      <c r="H129" s="149" t="s">
        <v>733</v>
      </c>
      <c r="I129" s="147">
        <v>10150732</v>
      </c>
      <c r="J129" s="148">
        <v>1400458</v>
      </c>
      <c r="K129" s="148">
        <v>1524389</v>
      </c>
      <c r="L129" s="148">
        <v>1444716</v>
      </c>
      <c r="M129" s="148">
        <v>1180732</v>
      </c>
      <c r="N129" s="148">
        <v>1840240</v>
      </c>
      <c r="O129" s="148">
        <v>1188134</v>
      </c>
      <c r="P129" s="148">
        <v>937000</v>
      </c>
      <c r="Q129" s="148">
        <v>635061</v>
      </c>
    </row>
    <row r="130" spans="8:17">
      <c r="H130" s="149" t="s">
        <v>734</v>
      </c>
      <c r="I130" s="150"/>
      <c r="J130" s="151"/>
      <c r="K130" s="151"/>
      <c r="L130" s="151"/>
      <c r="M130" s="151"/>
      <c r="N130" s="151"/>
      <c r="O130" s="151"/>
      <c r="P130" s="151"/>
      <c r="Q130" s="151"/>
    </row>
    <row r="131" spans="8:17">
      <c r="H131" s="149" t="s">
        <v>735</v>
      </c>
      <c r="I131" s="147">
        <v>10150732</v>
      </c>
      <c r="J131" s="148">
        <v>1400458</v>
      </c>
      <c r="K131" s="148">
        <v>1524389</v>
      </c>
      <c r="L131" s="148">
        <v>1444716</v>
      </c>
      <c r="M131" s="148">
        <v>1180732</v>
      </c>
      <c r="N131" s="148">
        <v>1840240</v>
      </c>
      <c r="O131" s="148">
        <v>1188134</v>
      </c>
      <c r="P131" s="148">
        <v>937000</v>
      </c>
      <c r="Q131" s="148">
        <v>635061</v>
      </c>
    </row>
    <row r="132" spans="8:17">
      <c r="H132" s="152"/>
      <c r="I132" s="153"/>
      <c r="J132">
        <f>J131/1000</f>
        <v>1400.4580000000001</v>
      </c>
      <c r="K132">
        <f t="shared" ref="K132:Q132" si="32">K131/1000</f>
        <v>1524.3889999999999</v>
      </c>
      <c r="L132">
        <f t="shared" si="32"/>
        <v>1444.7159999999999</v>
      </c>
      <c r="M132">
        <f t="shared" si="32"/>
        <v>1180.732</v>
      </c>
      <c r="N132">
        <f t="shared" si="32"/>
        <v>1840.24</v>
      </c>
      <c r="O132">
        <f t="shared" si="32"/>
        <v>1188.134</v>
      </c>
      <c r="P132">
        <f t="shared" si="32"/>
        <v>937</v>
      </c>
      <c r="Q132">
        <f t="shared" si="32"/>
        <v>635.06100000000004</v>
      </c>
    </row>
    <row r="134" spans="8:17">
      <c r="I134" s="302">
        <f>(I129-I126)/I111</f>
        <v>0.143190605497372</v>
      </c>
    </row>
  </sheetData>
  <mergeCells count="11">
    <mergeCell ref="J81:K81"/>
    <mergeCell ref="L81:M81"/>
    <mergeCell ref="N81:O81"/>
    <mergeCell ref="F82:H82"/>
    <mergeCell ref="G88:H88"/>
    <mergeCell ref="F10:H10"/>
    <mergeCell ref="G54:H54"/>
    <mergeCell ref="G55:H55"/>
    <mergeCell ref="G56:H56"/>
    <mergeCell ref="G53:H53"/>
    <mergeCell ref="F47:H4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AI90"/>
  <sheetViews>
    <sheetView workbookViewId="0">
      <pane xSplit="9" ySplit="12" topLeftCell="AA76" activePane="bottomRight" state="frozen"/>
      <selection pane="topRight" activeCell="E1" sqref="E1"/>
      <selection pane="bottomLeft" activeCell="E1" sqref="E1"/>
      <selection pane="bottomRight" activeCell="E1" sqref="E1"/>
    </sheetView>
  </sheetViews>
  <sheetFormatPr defaultColWidth="8.85546875" defaultRowHeight="15"/>
  <cols>
    <col min="1" max="1" width="5.28515625" customWidth="1"/>
    <col min="2" max="2" width="31.42578125" customWidth="1"/>
    <col min="3" max="3" width="4.28515625" customWidth="1"/>
    <col min="4" max="4" width="6.85546875" customWidth="1"/>
    <col min="5" max="5" width="8.85546875" style="36"/>
    <col min="6" max="6" width="12.42578125" style="36" bestFit="1" customWidth="1"/>
    <col min="7" max="7" width="12.42578125" style="36" customWidth="1"/>
    <col min="8" max="8" width="15.85546875" style="36" customWidth="1"/>
    <col min="9" max="9" width="12.42578125" bestFit="1" customWidth="1"/>
    <col min="18" max="18" width="6.85546875" customWidth="1"/>
    <col min="22" max="22" width="9.7109375" bestFit="1" customWidth="1"/>
    <col min="26" max="26" width="6.85546875" customWidth="1"/>
    <col min="30" max="30" width="9.7109375" bestFit="1" customWidth="1"/>
    <col min="34" max="34" width="9.7109375" bestFit="1" customWidth="1"/>
  </cols>
  <sheetData>
    <row r="1" spans="1:34" ht="18.75">
      <c r="A1" s="1" t="s">
        <v>528</v>
      </c>
    </row>
    <row r="5" spans="1:34">
      <c r="B5" s="4" t="s">
        <v>529</v>
      </c>
    </row>
    <row r="6" spans="1:34">
      <c r="B6" s="6" t="s">
        <v>530</v>
      </c>
      <c r="C6" s="7">
        <v>2019</v>
      </c>
    </row>
    <row r="7" spans="1:34">
      <c r="B7" s="6" t="s">
        <v>531</v>
      </c>
      <c r="C7" s="38" t="s">
        <v>532</v>
      </c>
      <c r="D7" s="17" t="s">
        <v>736</v>
      </c>
    </row>
    <row r="8" spans="1:34">
      <c r="I8" t="s">
        <v>533</v>
      </c>
      <c r="J8" s="2">
        <v>2020</v>
      </c>
      <c r="K8" s="2"/>
      <c r="L8" s="2"/>
      <c r="M8" s="2"/>
      <c r="N8" s="3">
        <v>2021</v>
      </c>
      <c r="O8" s="3"/>
      <c r="P8" s="3"/>
      <c r="Q8" s="3"/>
      <c r="R8" s="2">
        <v>2022</v>
      </c>
      <c r="S8" s="2"/>
      <c r="T8" s="2"/>
      <c r="U8" s="2"/>
      <c r="V8" s="3">
        <v>2023</v>
      </c>
      <c r="W8" s="3"/>
      <c r="X8" s="3"/>
      <c r="Y8" s="3"/>
      <c r="Z8" s="2">
        <v>2024</v>
      </c>
      <c r="AA8" s="2"/>
      <c r="AB8" s="2"/>
      <c r="AC8" s="2"/>
      <c r="AD8" s="3">
        <v>2025</v>
      </c>
      <c r="AE8" s="3"/>
      <c r="AF8" s="3"/>
      <c r="AG8" s="3"/>
      <c r="AH8" t="s">
        <v>534</v>
      </c>
    </row>
    <row r="9" spans="1:34">
      <c r="I9" t="s">
        <v>27</v>
      </c>
      <c r="J9" t="s">
        <v>536</v>
      </c>
      <c r="M9" t="s">
        <v>537</v>
      </c>
    </row>
    <row r="10" spans="1:34">
      <c r="A10" t="s">
        <v>541</v>
      </c>
      <c r="B10" s="9" t="s">
        <v>542</v>
      </c>
      <c r="C10" s="10"/>
      <c r="D10" s="11"/>
      <c r="E10" s="36" t="s">
        <v>543</v>
      </c>
      <c r="F10" s="36" t="s">
        <v>544</v>
      </c>
      <c r="G10" s="36" t="s">
        <v>545</v>
      </c>
      <c r="H10" s="36" t="s">
        <v>546</v>
      </c>
      <c r="I10" s="17" t="s">
        <v>547</v>
      </c>
      <c r="J10" s="17" t="s">
        <v>548</v>
      </c>
      <c r="K10" s="17" t="s">
        <v>549</v>
      </c>
      <c r="L10" s="17" t="s">
        <v>550</v>
      </c>
      <c r="M10" s="17" t="s">
        <v>551</v>
      </c>
      <c r="N10" s="17" t="s">
        <v>548</v>
      </c>
      <c r="O10" s="17" t="s">
        <v>549</v>
      </c>
      <c r="P10" s="17" t="s">
        <v>550</v>
      </c>
      <c r="Q10" s="17" t="s">
        <v>551</v>
      </c>
      <c r="R10" s="17" t="s">
        <v>548</v>
      </c>
      <c r="S10" s="17" t="s">
        <v>549</v>
      </c>
      <c r="T10" s="17" t="s">
        <v>550</v>
      </c>
      <c r="U10" s="17" t="s">
        <v>551</v>
      </c>
      <c r="V10" s="17" t="s">
        <v>548</v>
      </c>
      <c r="W10" s="17" t="s">
        <v>549</v>
      </c>
      <c r="X10" s="17" t="s">
        <v>550</v>
      </c>
      <c r="Y10" s="17" t="s">
        <v>551</v>
      </c>
      <c r="Z10" s="17" t="s">
        <v>548</v>
      </c>
      <c r="AA10" s="17" t="s">
        <v>549</v>
      </c>
      <c r="AB10" s="17" t="s">
        <v>550</v>
      </c>
      <c r="AC10" s="17" t="s">
        <v>551</v>
      </c>
      <c r="AD10" s="17" t="s">
        <v>548</v>
      </c>
      <c r="AE10" s="17" t="s">
        <v>549</v>
      </c>
      <c r="AF10" s="17" t="s">
        <v>550</v>
      </c>
      <c r="AG10" s="17" t="s">
        <v>551</v>
      </c>
    </row>
    <row r="11" spans="1:34">
      <c r="B11" s="12" t="s">
        <v>552</v>
      </c>
      <c r="C11" s="13"/>
      <c r="D11" s="14"/>
      <c r="I11" s="17" t="s">
        <v>553</v>
      </c>
      <c r="J11" s="17" t="s">
        <v>554</v>
      </c>
      <c r="K11" s="17"/>
      <c r="L11" s="17"/>
      <c r="M11" s="17" t="s">
        <v>555</v>
      </c>
      <c r="N11" s="17"/>
      <c r="O11" s="17"/>
      <c r="P11" s="17"/>
      <c r="Q11" s="17"/>
      <c r="R11" s="17"/>
      <c r="S11" s="17"/>
      <c r="T11" s="17"/>
      <c r="U11" s="17"/>
      <c r="V11" s="17"/>
      <c r="W11" s="17"/>
      <c r="X11" s="17"/>
      <c r="Y11" s="17"/>
      <c r="Z11" s="17"/>
      <c r="AA11" s="17"/>
      <c r="AB11" s="17"/>
      <c r="AC11" s="17"/>
      <c r="AD11" s="17"/>
      <c r="AE11" s="17"/>
      <c r="AF11" s="17"/>
      <c r="AG11" s="17"/>
    </row>
    <row r="12" spans="1:34">
      <c r="B12" s="39" t="s">
        <v>556</v>
      </c>
      <c r="C12" s="40"/>
      <c r="D12" s="41"/>
      <c r="J12" s="8">
        <v>43862</v>
      </c>
      <c r="K12" s="8">
        <v>43922</v>
      </c>
      <c r="L12" s="8">
        <v>44012</v>
      </c>
      <c r="M12" s="8">
        <v>44227</v>
      </c>
    </row>
    <row r="13" spans="1:34">
      <c r="B13" s="42" t="s">
        <v>557</v>
      </c>
      <c r="C13" s="43"/>
      <c r="D13" s="44"/>
    </row>
    <row r="14" spans="1:34">
      <c r="A14" s="16" t="s">
        <v>32</v>
      </c>
      <c r="B14" s="42" t="s">
        <v>558</v>
      </c>
      <c r="C14" s="43"/>
      <c r="D14" s="44"/>
      <c r="E14" s="36" t="s">
        <v>12</v>
      </c>
      <c r="F14" s="36" t="s">
        <v>13</v>
      </c>
      <c r="G14" s="36" t="str">
        <f>CONCATENATE(E14,F14)</f>
        <v>MGTManpower</v>
      </c>
      <c r="H14" s="60">
        <v>110000</v>
      </c>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93">
        <f>SUM(J14:AG14)</f>
        <v>0</v>
      </c>
    </row>
    <row r="15" spans="1:34">
      <c r="A15" t="s">
        <v>76</v>
      </c>
      <c r="B15" s="42" t="s">
        <v>559</v>
      </c>
      <c r="C15" s="43"/>
      <c r="D15" s="44"/>
      <c r="E15" s="36" t="s">
        <v>12</v>
      </c>
      <c r="F15" s="36" t="s">
        <v>13</v>
      </c>
      <c r="G15" s="36" t="str">
        <f>CONCATENATE(E15,F15)</f>
        <v>MGTManpower</v>
      </c>
      <c r="H15" s="16">
        <v>130000</v>
      </c>
      <c r="J15" s="119">
        <f>AIUB!E9/4</f>
        <v>0.84006284633058514</v>
      </c>
      <c r="K15" s="119">
        <f>J15</f>
        <v>0.84006284633058514</v>
      </c>
      <c r="L15" s="119">
        <f>K15</f>
        <v>0.84006284633058514</v>
      </c>
      <c r="M15" s="119">
        <f>L15</f>
        <v>0.84006284633058514</v>
      </c>
      <c r="N15" s="119">
        <f>AIUB!F9/4</f>
        <v>0.84006284633058514</v>
      </c>
      <c r="O15" s="119">
        <f>N15</f>
        <v>0.84006284633058514</v>
      </c>
      <c r="P15" s="119">
        <f>O15</f>
        <v>0.84006284633058514</v>
      </c>
      <c r="Q15" s="119">
        <f>P15</f>
        <v>0.84006284633058514</v>
      </c>
      <c r="R15" s="119">
        <f>AIUB!G9/4</f>
        <v>0.84006284633058514</v>
      </c>
      <c r="S15" s="119">
        <f>R15</f>
        <v>0.84006284633058514</v>
      </c>
      <c r="T15" s="119">
        <f>S15</f>
        <v>0.84006284633058514</v>
      </c>
      <c r="U15" s="119">
        <f>T15</f>
        <v>0.84006284633058514</v>
      </c>
      <c r="V15" s="119">
        <f>AIUB!H9/4</f>
        <v>0.84006284633058514</v>
      </c>
      <c r="W15" s="119">
        <f>V15</f>
        <v>0.84006284633058514</v>
      </c>
      <c r="X15" s="119">
        <f>W15</f>
        <v>0.84006284633058514</v>
      </c>
      <c r="Y15" s="119">
        <f>X15</f>
        <v>0.84006284633058514</v>
      </c>
      <c r="Z15" s="119">
        <f>AIUB!I9/4</f>
        <v>1.4330483849168802</v>
      </c>
      <c r="AA15" s="119">
        <f>Z15</f>
        <v>1.4330483849168802</v>
      </c>
      <c r="AB15" s="119">
        <f>AA15</f>
        <v>1.4330483849168802</v>
      </c>
      <c r="AC15" s="119">
        <f>AB15</f>
        <v>1.4330483849168802</v>
      </c>
      <c r="AD15" s="119">
        <f>AIUB!J9/4</f>
        <v>1.4745573726179209</v>
      </c>
      <c r="AE15" s="119">
        <f>AD15</f>
        <v>1.4745573726179209</v>
      </c>
      <c r="AF15" s="119">
        <f>AE15</f>
        <v>1.4745573726179209</v>
      </c>
      <c r="AG15" s="119">
        <f>AF15</f>
        <v>1.4745573726179209</v>
      </c>
      <c r="AH15" s="93">
        <f t="shared" ref="AH15:AH78" si="0">SUM(J15:AG15)</f>
        <v>25.071428571428562</v>
      </c>
    </row>
    <row r="16" spans="1:34">
      <c r="A16" t="s">
        <v>62</v>
      </c>
      <c r="B16" s="42" t="s">
        <v>560</v>
      </c>
      <c r="C16" s="43"/>
      <c r="D16" s="44"/>
      <c r="E16" s="36" t="s">
        <v>14</v>
      </c>
      <c r="F16" s="36" t="s">
        <v>13</v>
      </c>
      <c r="G16" s="36" t="str">
        <f>CONCATENATE(E16,F16)</f>
        <v>MISSIONManpower</v>
      </c>
      <c r="H16" s="16" t="s">
        <v>561</v>
      </c>
      <c r="J16" s="304"/>
      <c r="K16" s="304"/>
      <c r="L16" s="304"/>
      <c r="M16" s="304"/>
      <c r="N16" s="304"/>
      <c r="O16" s="304"/>
      <c r="P16" s="304"/>
      <c r="Q16" s="119"/>
      <c r="R16" s="119"/>
      <c r="S16" s="119"/>
      <c r="T16" s="119"/>
      <c r="U16" s="119"/>
      <c r="V16" s="119"/>
      <c r="W16" s="119"/>
      <c r="X16" s="119"/>
      <c r="Y16" s="305"/>
      <c r="Z16" s="304"/>
      <c r="AA16" s="304"/>
      <c r="AB16" s="304"/>
      <c r="AC16" s="304"/>
      <c r="AD16" s="304"/>
      <c r="AE16" s="304"/>
      <c r="AF16" s="304"/>
      <c r="AG16" s="304"/>
      <c r="AH16" s="222">
        <f t="shared" si="0"/>
        <v>0</v>
      </c>
    </row>
    <row r="17" spans="1:34" s="16" customFormat="1">
      <c r="B17" s="45"/>
      <c r="C17" s="55"/>
      <c r="D17" s="56" t="s">
        <v>562</v>
      </c>
      <c r="E17" s="57"/>
      <c r="F17" s="57"/>
      <c r="G17" s="57"/>
      <c r="H17" s="17"/>
      <c r="J17" s="305"/>
      <c r="K17" s="305"/>
      <c r="L17" s="305"/>
      <c r="M17" s="305"/>
      <c r="N17" s="305"/>
      <c r="O17" s="305"/>
      <c r="P17" s="305"/>
      <c r="Q17" s="305"/>
      <c r="R17" s="305"/>
      <c r="S17" s="305"/>
      <c r="T17" s="305"/>
      <c r="U17" s="305"/>
      <c r="V17" s="305"/>
      <c r="W17" s="305"/>
      <c r="X17" s="305"/>
      <c r="Y17" s="306"/>
      <c r="Z17" s="305"/>
      <c r="AA17" s="305"/>
      <c r="AB17" s="305"/>
      <c r="AC17" s="305"/>
      <c r="AD17" s="305"/>
      <c r="AE17" s="305"/>
      <c r="AF17" s="305"/>
      <c r="AG17" s="305"/>
      <c r="AH17" s="222">
        <f t="shared" si="0"/>
        <v>0</v>
      </c>
    </row>
    <row r="18" spans="1:34">
      <c r="A18" t="s">
        <v>120</v>
      </c>
      <c r="B18" s="42" t="s">
        <v>563</v>
      </c>
      <c r="C18" s="43"/>
      <c r="D18" s="44"/>
      <c r="E18" s="36" t="s">
        <v>14</v>
      </c>
      <c r="F18" s="36" t="s">
        <v>13</v>
      </c>
      <c r="G18" s="36" t="str">
        <f>CONCATENATE(E18,F18)</f>
        <v>MISSIONManpower</v>
      </c>
      <c r="H18" s="60">
        <v>401000</v>
      </c>
      <c r="I18" s="65" t="s">
        <v>564</v>
      </c>
      <c r="J18" s="305"/>
      <c r="K18" s="305"/>
      <c r="L18" s="305"/>
      <c r="M18" s="305"/>
      <c r="N18" s="305"/>
      <c r="O18" s="305"/>
      <c r="P18" s="305"/>
      <c r="Q18" s="119"/>
      <c r="R18" s="119"/>
      <c r="S18" s="119"/>
      <c r="T18" s="119"/>
      <c r="U18" s="119"/>
      <c r="V18" s="119"/>
      <c r="W18" s="119"/>
      <c r="X18" s="119"/>
      <c r="Y18" s="304"/>
      <c r="Z18" s="305"/>
      <c r="AA18" s="305"/>
      <c r="AB18" s="305"/>
      <c r="AC18" s="305"/>
      <c r="AD18" s="305"/>
      <c r="AE18" s="305"/>
      <c r="AF18" s="305"/>
      <c r="AG18" s="305"/>
      <c r="AH18" s="222">
        <f t="shared" si="0"/>
        <v>0</v>
      </c>
    </row>
    <row r="19" spans="1:34">
      <c r="A19" t="s">
        <v>351</v>
      </c>
      <c r="B19" s="42" t="s">
        <v>565</v>
      </c>
      <c r="C19" s="43"/>
      <c r="D19" s="44"/>
      <c r="E19" s="36" t="s">
        <v>14</v>
      </c>
      <c r="F19" s="36" t="s">
        <v>13</v>
      </c>
      <c r="G19" s="36" t="str">
        <f>CONCATENATE(E19,F19)</f>
        <v>MISSIONManpower</v>
      </c>
      <c r="H19" s="60" t="s">
        <v>638</v>
      </c>
      <c r="I19" t="s">
        <v>567</v>
      </c>
      <c r="J19" s="119"/>
      <c r="K19" s="119"/>
      <c r="L19" s="119"/>
      <c r="M19" s="119"/>
      <c r="N19" s="119"/>
      <c r="O19" s="119"/>
      <c r="P19" s="119"/>
      <c r="Q19" s="119"/>
      <c r="R19" s="119"/>
      <c r="S19" s="119"/>
      <c r="T19" s="119"/>
      <c r="U19" s="119"/>
      <c r="V19" s="119"/>
      <c r="W19" s="119"/>
      <c r="X19" s="119"/>
      <c r="Y19" s="304"/>
      <c r="Z19" s="119"/>
      <c r="AA19" s="119"/>
      <c r="AB19" s="119"/>
      <c r="AC19" s="119"/>
      <c r="AD19" s="119"/>
      <c r="AE19" s="119"/>
      <c r="AF19" s="119"/>
      <c r="AG19" s="119"/>
      <c r="AH19" s="222">
        <f t="shared" si="0"/>
        <v>0</v>
      </c>
    </row>
    <row r="20" spans="1:34">
      <c r="A20" t="s">
        <v>356</v>
      </c>
      <c r="B20" s="42" t="s">
        <v>568</v>
      </c>
      <c r="C20" s="43"/>
      <c r="D20" s="44"/>
      <c r="E20" s="36" t="s">
        <v>14</v>
      </c>
      <c r="F20" s="36" t="s">
        <v>117</v>
      </c>
      <c r="G20" s="36" t="str">
        <f>CONCATENATE(E20,F20)</f>
        <v>MISSIONProcurement</v>
      </c>
      <c r="H20" s="60">
        <v>510000</v>
      </c>
      <c r="I20" t="s">
        <v>569</v>
      </c>
      <c r="J20" s="119"/>
      <c r="K20" s="119"/>
      <c r="L20" s="119"/>
      <c r="M20" s="119"/>
      <c r="N20" s="119"/>
      <c r="O20" s="119"/>
      <c r="P20" s="119"/>
      <c r="Q20" s="119"/>
      <c r="R20" s="119"/>
      <c r="S20" s="119"/>
      <c r="T20" s="119"/>
      <c r="U20" s="119"/>
      <c r="V20" s="119"/>
      <c r="W20" s="119"/>
      <c r="X20" s="119"/>
      <c r="Y20" s="304"/>
      <c r="Z20" s="119"/>
      <c r="AA20" s="119"/>
      <c r="AB20" s="119"/>
      <c r="AC20" s="119"/>
      <c r="AD20" s="119"/>
      <c r="AE20" s="119"/>
      <c r="AF20" s="119"/>
      <c r="AG20" s="119"/>
      <c r="AH20" s="222">
        <f t="shared" si="0"/>
        <v>0</v>
      </c>
    </row>
    <row r="21" spans="1:34" s="16" customFormat="1">
      <c r="B21" s="45"/>
      <c r="C21" s="55"/>
      <c r="D21" s="56" t="s">
        <v>562</v>
      </c>
      <c r="E21" s="57"/>
      <c r="F21" s="57"/>
      <c r="G21" s="57"/>
      <c r="H21" s="17"/>
      <c r="J21" s="305"/>
      <c r="K21" s="305"/>
      <c r="L21" s="305"/>
      <c r="M21" s="305"/>
      <c r="N21" s="305"/>
      <c r="O21" s="305"/>
      <c r="P21" s="305"/>
      <c r="Q21" s="305"/>
      <c r="R21" s="305"/>
      <c r="S21" s="305"/>
      <c r="T21" s="305"/>
      <c r="U21" s="305"/>
      <c r="V21" s="305"/>
      <c r="W21" s="305"/>
      <c r="X21" s="305"/>
      <c r="Y21" s="306"/>
      <c r="Z21" s="305"/>
      <c r="AA21" s="305"/>
      <c r="AB21" s="305"/>
      <c r="AC21" s="305"/>
      <c r="AD21" s="305"/>
      <c r="AE21" s="305"/>
      <c r="AF21" s="305"/>
      <c r="AG21" s="305"/>
      <c r="AH21" s="222">
        <f t="shared" si="0"/>
        <v>0</v>
      </c>
    </row>
    <row r="22" spans="1:34">
      <c r="B22" s="46" t="s">
        <v>570</v>
      </c>
      <c r="C22" s="47"/>
      <c r="D22" s="41"/>
      <c r="H22"/>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222">
        <f t="shared" si="0"/>
        <v>0</v>
      </c>
    </row>
    <row r="23" spans="1:34">
      <c r="B23" s="48" t="s">
        <v>571</v>
      </c>
      <c r="C23" s="49"/>
      <c r="D23" s="50"/>
      <c r="H23"/>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222">
        <f t="shared" si="0"/>
        <v>0</v>
      </c>
    </row>
    <row r="24" spans="1:34">
      <c r="A24" t="s">
        <v>160</v>
      </c>
      <c r="B24" s="51" t="s">
        <v>572</v>
      </c>
      <c r="C24" s="43"/>
      <c r="D24" s="44"/>
      <c r="E24" s="36" t="s">
        <v>139</v>
      </c>
      <c r="F24" s="36" t="s">
        <v>13</v>
      </c>
      <c r="G24" s="36" t="str">
        <f>CONCATENATE(E24,F24)</f>
        <v>TECHManpower</v>
      </c>
      <c r="H24" s="16">
        <v>410000</v>
      </c>
      <c r="J24" s="119"/>
      <c r="K24" s="119"/>
      <c r="L24" s="119"/>
      <c r="M24" s="119"/>
      <c r="N24" s="119"/>
      <c r="O24" s="119"/>
      <c r="P24" s="119"/>
      <c r="Q24" s="119"/>
      <c r="R24" s="119"/>
      <c r="S24" s="119"/>
      <c r="T24" s="119"/>
      <c r="U24" s="119"/>
      <c r="V24" s="119"/>
      <c r="W24" s="119"/>
      <c r="X24" s="119"/>
      <c r="Y24" s="305"/>
      <c r="Z24" s="119"/>
      <c r="AA24" s="119"/>
      <c r="AB24" s="119"/>
      <c r="AC24" s="119"/>
      <c r="AD24" s="119"/>
      <c r="AE24" s="119"/>
      <c r="AF24" s="119"/>
      <c r="AG24" s="119"/>
      <c r="AH24" s="222">
        <f t="shared" si="0"/>
        <v>0</v>
      </c>
    </row>
    <row r="25" spans="1:34">
      <c r="A25" t="s">
        <v>573</v>
      </c>
      <c r="B25" s="51" t="s">
        <v>574</v>
      </c>
      <c r="C25" s="43"/>
      <c r="D25" s="44"/>
      <c r="E25" s="36" t="s">
        <v>14</v>
      </c>
      <c r="F25" s="36" t="s">
        <v>13</v>
      </c>
      <c r="G25" s="36" t="str">
        <f>CONCATENATE(E25,F25)</f>
        <v>MISSIONManpower</v>
      </c>
      <c r="H25" s="16"/>
      <c r="J25" s="119"/>
      <c r="K25" s="119"/>
      <c r="L25" s="119"/>
      <c r="M25" s="119"/>
      <c r="N25" s="119"/>
      <c r="O25" s="119"/>
      <c r="P25" s="119"/>
      <c r="Q25" s="119"/>
      <c r="R25" s="119"/>
      <c r="S25" s="119"/>
      <c r="T25" s="119"/>
      <c r="U25" s="119"/>
      <c r="V25" s="119"/>
      <c r="W25" s="119"/>
      <c r="X25" s="119"/>
      <c r="Y25" s="307"/>
      <c r="Z25" s="119"/>
      <c r="AA25" s="119"/>
      <c r="AB25" s="119"/>
      <c r="AC25" s="119"/>
      <c r="AD25" s="119"/>
      <c r="AE25" s="119"/>
      <c r="AF25" s="119"/>
      <c r="AG25" s="119"/>
      <c r="AH25" s="222">
        <f t="shared" si="0"/>
        <v>0</v>
      </c>
    </row>
    <row r="26" spans="1:34" s="16" customFormat="1">
      <c r="B26" s="45"/>
      <c r="C26" s="55"/>
      <c r="D26" s="56" t="s">
        <v>562</v>
      </c>
      <c r="E26" s="57"/>
      <c r="F26" s="57"/>
      <c r="G26" s="57"/>
      <c r="H26" s="17"/>
      <c r="J26" s="305"/>
      <c r="K26" s="305"/>
      <c r="L26" s="305"/>
      <c r="M26" s="305"/>
      <c r="N26" s="305"/>
      <c r="O26" s="305"/>
      <c r="P26" s="305"/>
      <c r="Q26" s="305"/>
      <c r="R26" s="305"/>
      <c r="S26" s="305"/>
      <c r="T26" s="305"/>
      <c r="U26" s="305"/>
      <c r="V26" s="305"/>
      <c r="W26" s="305"/>
      <c r="X26" s="305"/>
      <c r="Y26" s="306"/>
      <c r="Z26" s="305"/>
      <c r="AA26" s="305"/>
      <c r="AB26" s="305"/>
      <c r="AC26" s="305"/>
      <c r="AD26" s="305"/>
      <c r="AE26" s="305"/>
      <c r="AF26" s="305"/>
      <c r="AG26" s="305"/>
      <c r="AH26" s="222">
        <f t="shared" si="0"/>
        <v>0</v>
      </c>
    </row>
    <row r="27" spans="1:34">
      <c r="B27" s="48" t="s">
        <v>575</v>
      </c>
      <c r="C27" s="52"/>
      <c r="D27" s="50"/>
      <c r="H27"/>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222">
        <f t="shared" si="0"/>
        <v>0</v>
      </c>
    </row>
    <row r="28" spans="1:34">
      <c r="A28" t="s">
        <v>180</v>
      </c>
      <c r="B28" s="51" t="s">
        <v>576</v>
      </c>
      <c r="C28" s="53"/>
      <c r="D28" s="44"/>
      <c r="E28" s="37" t="s">
        <v>14</v>
      </c>
      <c r="F28" s="59" t="s">
        <v>13</v>
      </c>
      <c r="G28" s="36" t="str">
        <f>CONCATENATE(E28,F28)</f>
        <v>MISSIONManpower</v>
      </c>
      <c r="H28" s="71">
        <v>430000</v>
      </c>
      <c r="I28" s="74" t="s">
        <v>577</v>
      </c>
      <c r="J28" s="119"/>
      <c r="K28" s="119"/>
      <c r="L28" s="119"/>
      <c r="M28" s="119"/>
      <c r="N28" s="119"/>
      <c r="O28" s="119"/>
      <c r="P28" s="119"/>
      <c r="Q28" s="119"/>
      <c r="R28" s="119"/>
      <c r="S28" s="119"/>
      <c r="T28" s="119"/>
      <c r="U28" s="119"/>
      <c r="V28" s="119"/>
      <c r="W28" s="119"/>
      <c r="X28" s="119"/>
      <c r="Y28" s="308"/>
      <c r="Z28" s="119"/>
      <c r="AA28" s="119"/>
      <c r="AB28" s="119"/>
      <c r="AC28" s="119"/>
      <c r="AD28" s="119"/>
      <c r="AE28" s="119"/>
      <c r="AF28" s="119"/>
      <c r="AG28" s="119"/>
      <c r="AH28" s="222">
        <f t="shared" si="0"/>
        <v>0</v>
      </c>
    </row>
    <row r="29" spans="1:34">
      <c r="A29" t="s">
        <v>578</v>
      </c>
      <c r="B29" s="51" t="s">
        <v>579</v>
      </c>
      <c r="C29" s="53"/>
      <c r="D29" s="44"/>
      <c r="E29" s="37" t="s">
        <v>14</v>
      </c>
      <c r="F29" s="59" t="s">
        <v>117</v>
      </c>
      <c r="G29" s="36" t="str">
        <f>CONCATENATE(E29,F29)</f>
        <v>MISSIONProcurement</v>
      </c>
      <c r="H29" s="72">
        <v>430000</v>
      </c>
      <c r="I29" s="74" t="s">
        <v>577</v>
      </c>
      <c r="J29" s="119"/>
      <c r="K29" s="119"/>
      <c r="L29" s="119"/>
      <c r="M29" s="119"/>
      <c r="N29" s="119"/>
      <c r="O29" s="119"/>
      <c r="P29" s="119"/>
      <c r="Q29" s="119"/>
      <c r="R29" s="119"/>
      <c r="S29" s="119"/>
      <c r="T29" s="119"/>
      <c r="U29" s="119"/>
      <c r="V29" s="119"/>
      <c r="W29" s="119"/>
      <c r="X29" s="119"/>
      <c r="Y29" s="305"/>
      <c r="Z29" s="119"/>
      <c r="AA29" s="119"/>
      <c r="AB29" s="119"/>
      <c r="AC29" s="119"/>
      <c r="AD29" s="119"/>
      <c r="AE29" s="119"/>
      <c r="AF29" s="119"/>
      <c r="AG29" s="119"/>
      <c r="AH29" s="222">
        <f t="shared" si="0"/>
        <v>0</v>
      </c>
    </row>
    <row r="30" spans="1:34" s="16" customFormat="1">
      <c r="B30" s="45"/>
      <c r="C30" s="55"/>
      <c r="D30" s="56" t="s">
        <v>562</v>
      </c>
      <c r="E30" s="57"/>
      <c r="F30" s="57"/>
      <c r="G30" s="57"/>
      <c r="H30" s="17"/>
      <c r="J30" s="305"/>
      <c r="K30" s="305"/>
      <c r="L30" s="305"/>
      <c r="M30" s="305"/>
      <c r="N30" s="305"/>
      <c r="O30" s="305"/>
      <c r="P30" s="305"/>
      <c r="Q30" s="305"/>
      <c r="R30" s="305"/>
      <c r="S30" s="305"/>
      <c r="T30" s="305"/>
      <c r="U30" s="305"/>
      <c r="V30" s="305"/>
      <c r="W30" s="305"/>
      <c r="X30" s="305"/>
      <c r="Y30" s="306"/>
      <c r="Z30" s="305"/>
      <c r="AA30" s="305"/>
      <c r="AB30" s="305"/>
      <c r="AC30" s="305"/>
      <c r="AD30" s="305"/>
      <c r="AE30" s="305"/>
      <c r="AF30" s="305"/>
      <c r="AG30" s="305"/>
      <c r="AH30" s="222">
        <f t="shared" si="0"/>
        <v>0</v>
      </c>
    </row>
    <row r="31" spans="1:34">
      <c r="B31" s="48" t="s">
        <v>580</v>
      </c>
      <c r="C31" s="52"/>
      <c r="D31" s="50"/>
      <c r="E31" s="37"/>
      <c r="F31" s="37"/>
      <c r="G31" s="37"/>
      <c r="H31" s="62"/>
      <c r="I31" s="18"/>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222">
        <f t="shared" si="0"/>
        <v>0</v>
      </c>
    </row>
    <row r="32" spans="1:34">
      <c r="A32" t="s">
        <v>173</v>
      </c>
      <c r="B32" s="51" t="s">
        <v>581</v>
      </c>
      <c r="C32" s="53"/>
      <c r="D32" s="44"/>
      <c r="E32" s="37" t="s">
        <v>14</v>
      </c>
      <c r="F32" s="36" t="s">
        <v>13</v>
      </c>
      <c r="G32" s="36" t="str">
        <f>CONCATENATE(E32,F32)</f>
        <v>MISSIONManpower</v>
      </c>
      <c r="H32" s="61">
        <v>420000</v>
      </c>
      <c r="I32" s="74" t="s">
        <v>577</v>
      </c>
      <c r="J32" s="119"/>
      <c r="K32" s="119"/>
      <c r="L32" s="119"/>
      <c r="M32" s="119"/>
      <c r="N32" s="119"/>
      <c r="O32" s="119"/>
      <c r="P32" s="119"/>
      <c r="Q32" s="119"/>
      <c r="R32" s="119"/>
      <c r="S32" s="119"/>
      <c r="T32" s="119"/>
      <c r="U32" s="119"/>
      <c r="V32" s="119"/>
      <c r="W32" s="119"/>
      <c r="X32" s="119"/>
      <c r="Y32" s="308"/>
      <c r="Z32" s="119"/>
      <c r="AA32" s="119"/>
      <c r="AB32" s="119"/>
      <c r="AC32" s="119"/>
      <c r="AD32" s="119"/>
      <c r="AE32" s="119"/>
      <c r="AF32" s="119"/>
      <c r="AG32" s="119"/>
      <c r="AH32" s="222">
        <f t="shared" si="0"/>
        <v>0</v>
      </c>
    </row>
    <row r="33" spans="1:34">
      <c r="A33" t="s">
        <v>582</v>
      </c>
      <c r="B33" s="51" t="s">
        <v>583</v>
      </c>
      <c r="C33" s="53"/>
      <c r="D33" s="44"/>
      <c r="E33" s="37" t="s">
        <v>14</v>
      </c>
      <c r="F33" s="36" t="s">
        <v>117</v>
      </c>
      <c r="G33" s="36" t="str">
        <f>CONCATENATE(E33,F33)</f>
        <v>MISSIONProcurement</v>
      </c>
      <c r="H33" s="61">
        <v>420000</v>
      </c>
      <c r="I33" s="74" t="s">
        <v>577</v>
      </c>
      <c r="J33" s="119"/>
      <c r="K33" s="119"/>
      <c r="L33" s="119"/>
      <c r="M33" s="119"/>
      <c r="N33" s="119"/>
      <c r="O33" s="119"/>
      <c r="P33" s="119"/>
      <c r="Q33" s="119"/>
      <c r="R33" s="119"/>
      <c r="S33" s="119"/>
      <c r="T33" s="119"/>
      <c r="U33" s="119"/>
      <c r="V33" s="119"/>
      <c r="W33" s="119"/>
      <c r="X33" s="119"/>
      <c r="Y33" s="308"/>
      <c r="Z33" s="119"/>
      <c r="AA33" s="119"/>
      <c r="AB33" s="119"/>
      <c r="AC33" s="119"/>
      <c r="AD33" s="119"/>
      <c r="AE33" s="119"/>
      <c r="AF33" s="119"/>
      <c r="AG33" s="119"/>
      <c r="AH33" s="222">
        <f t="shared" si="0"/>
        <v>0</v>
      </c>
    </row>
    <row r="34" spans="1:34" s="16" customFormat="1">
      <c r="B34" s="45"/>
      <c r="C34" s="55"/>
      <c r="D34" s="56" t="s">
        <v>562</v>
      </c>
      <c r="E34" s="57"/>
      <c r="F34" s="57"/>
      <c r="G34" s="57"/>
      <c r="H34" s="17"/>
      <c r="J34" s="305"/>
      <c r="K34" s="305"/>
      <c r="L34" s="305"/>
      <c r="M34" s="305"/>
      <c r="N34" s="305"/>
      <c r="O34" s="305"/>
      <c r="P34" s="305"/>
      <c r="Q34" s="305"/>
      <c r="R34" s="305"/>
      <c r="S34" s="305"/>
      <c r="T34" s="305"/>
      <c r="U34" s="305"/>
      <c r="V34" s="305"/>
      <c r="W34" s="305"/>
      <c r="X34" s="305"/>
      <c r="Y34" s="306"/>
      <c r="Z34" s="305"/>
      <c r="AA34" s="305"/>
      <c r="AB34" s="305"/>
      <c r="AC34" s="305"/>
      <c r="AD34" s="305"/>
      <c r="AE34" s="305"/>
      <c r="AF34" s="305"/>
      <c r="AG34" s="305"/>
      <c r="AH34" s="222">
        <f t="shared" si="0"/>
        <v>0</v>
      </c>
    </row>
    <row r="35" spans="1:34">
      <c r="B35" s="48" t="s">
        <v>584</v>
      </c>
      <c r="C35" s="52"/>
      <c r="D35" s="50"/>
      <c r="H35"/>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222">
        <f t="shared" si="0"/>
        <v>0</v>
      </c>
    </row>
    <row r="36" spans="1:34">
      <c r="A36" t="s">
        <v>187</v>
      </c>
      <c r="B36" s="51" t="s">
        <v>585</v>
      </c>
      <c r="C36" s="53"/>
      <c r="D36" s="44"/>
      <c r="E36" s="37" t="s">
        <v>14</v>
      </c>
      <c r="F36" s="36" t="s">
        <v>13</v>
      </c>
      <c r="G36" s="36" t="str">
        <f>CONCATENATE(E36,F36)</f>
        <v>MISSIONManpower</v>
      </c>
      <c r="H36" s="61">
        <v>440000</v>
      </c>
      <c r="I36" t="s">
        <v>586</v>
      </c>
      <c r="J36" s="119"/>
      <c r="K36" s="119"/>
      <c r="L36" s="119"/>
      <c r="M36" s="119"/>
      <c r="N36" s="119"/>
      <c r="O36" s="119"/>
      <c r="P36" s="119"/>
      <c r="Q36" s="119"/>
      <c r="R36" s="119"/>
      <c r="S36" s="119"/>
      <c r="T36" s="119"/>
      <c r="U36" s="119"/>
      <c r="V36" s="119"/>
      <c r="W36" s="119"/>
      <c r="X36" s="119"/>
      <c r="Y36" s="308"/>
      <c r="Z36" s="119"/>
      <c r="AA36" s="119"/>
      <c r="AB36" s="119"/>
      <c r="AC36" s="119"/>
      <c r="AD36" s="119"/>
      <c r="AE36" s="119"/>
      <c r="AF36" s="119"/>
      <c r="AG36" s="119"/>
      <c r="AH36" s="222">
        <f t="shared" si="0"/>
        <v>0</v>
      </c>
    </row>
    <row r="37" spans="1:34">
      <c r="A37" t="s">
        <v>587</v>
      </c>
      <c r="B37" s="51" t="s">
        <v>588</v>
      </c>
      <c r="C37" s="53"/>
      <c r="D37" s="44"/>
      <c r="E37" s="37" t="s">
        <v>14</v>
      </c>
      <c r="F37" s="36" t="s">
        <v>117</v>
      </c>
      <c r="G37" s="36" t="str">
        <f>CONCATENATE(E37,F37)</f>
        <v>MISSIONProcurement</v>
      </c>
      <c r="H37"/>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222">
        <f t="shared" si="0"/>
        <v>0</v>
      </c>
    </row>
    <row r="38" spans="1:34" s="16" customFormat="1">
      <c r="B38" s="45"/>
      <c r="C38" s="55"/>
      <c r="D38" s="56" t="s">
        <v>562</v>
      </c>
      <c r="E38" s="57"/>
      <c r="F38" s="57"/>
      <c r="G38" s="57"/>
      <c r="H38" s="17"/>
      <c r="J38" s="305"/>
      <c r="K38" s="305"/>
      <c r="L38" s="305"/>
      <c r="M38" s="305"/>
      <c r="N38" s="305"/>
      <c r="O38" s="305"/>
      <c r="P38" s="305"/>
      <c r="Q38" s="305"/>
      <c r="R38" s="305"/>
      <c r="S38" s="305"/>
      <c r="T38" s="305"/>
      <c r="U38" s="305"/>
      <c r="V38" s="305"/>
      <c r="W38" s="305"/>
      <c r="X38" s="305"/>
      <c r="Y38" s="306"/>
      <c r="Z38" s="305"/>
      <c r="AA38" s="305"/>
      <c r="AB38" s="305"/>
      <c r="AC38" s="305"/>
      <c r="AD38" s="305"/>
      <c r="AE38" s="305"/>
      <c r="AF38" s="305"/>
      <c r="AG38" s="305"/>
      <c r="AH38" s="222">
        <f t="shared" si="0"/>
        <v>0</v>
      </c>
    </row>
    <row r="39" spans="1:34">
      <c r="B39" s="48" t="s">
        <v>589</v>
      </c>
      <c r="C39" s="49"/>
      <c r="D39" s="50"/>
      <c r="H3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222">
        <f t="shared" si="0"/>
        <v>0</v>
      </c>
    </row>
    <row r="40" spans="1:34">
      <c r="A40" t="s">
        <v>204</v>
      </c>
      <c r="B40" s="51" t="s">
        <v>590</v>
      </c>
      <c r="C40" s="53"/>
      <c r="D40" s="44"/>
      <c r="E40" s="36" t="s">
        <v>14</v>
      </c>
      <c r="F40" s="36" t="s">
        <v>13</v>
      </c>
      <c r="G40" s="36" t="str">
        <f>CONCATENATE(E40,F40)</f>
        <v>MISSIONManpower</v>
      </c>
      <c r="H40" s="61">
        <v>450000</v>
      </c>
      <c r="I40" s="66" t="s">
        <v>591</v>
      </c>
      <c r="J40" s="119"/>
      <c r="K40" s="119"/>
      <c r="L40" s="119"/>
      <c r="M40" s="119"/>
      <c r="N40" s="119"/>
      <c r="O40" s="119"/>
      <c r="P40" s="119"/>
      <c r="Q40" s="119"/>
      <c r="R40" s="119"/>
      <c r="S40" s="119"/>
      <c r="T40" s="119"/>
      <c r="U40" s="119"/>
      <c r="V40" s="119"/>
      <c r="W40" s="119"/>
      <c r="X40" s="119"/>
      <c r="Y40" s="308"/>
      <c r="Z40" s="119"/>
      <c r="AA40" s="119"/>
      <c r="AB40" s="119"/>
      <c r="AC40" s="119"/>
      <c r="AD40" s="119"/>
      <c r="AE40" s="119"/>
      <c r="AF40" s="119"/>
      <c r="AG40" s="119"/>
      <c r="AH40" s="222">
        <f t="shared" si="0"/>
        <v>0</v>
      </c>
    </row>
    <row r="41" spans="1:34">
      <c r="A41" t="s">
        <v>592</v>
      </c>
      <c r="B41" s="51" t="s">
        <v>593</v>
      </c>
      <c r="C41" s="53"/>
      <c r="D41" s="44"/>
      <c r="E41" s="36" t="s">
        <v>14</v>
      </c>
      <c r="F41" s="36" t="s">
        <v>117</v>
      </c>
      <c r="G41" s="36" t="str">
        <f>CONCATENATE(E41,F41)</f>
        <v>MISSIONProcurement</v>
      </c>
      <c r="H41"/>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222">
        <f t="shared" si="0"/>
        <v>0</v>
      </c>
    </row>
    <row r="42" spans="1:34" s="16" customFormat="1">
      <c r="B42" s="45"/>
      <c r="C42" s="55"/>
      <c r="D42" s="56" t="s">
        <v>562</v>
      </c>
      <c r="E42" s="57"/>
      <c r="F42" s="57"/>
      <c r="G42" s="57"/>
      <c r="H42" s="17"/>
      <c r="J42" s="305"/>
      <c r="K42" s="305"/>
      <c r="L42" s="305"/>
      <c r="M42" s="305"/>
      <c r="N42" s="305"/>
      <c r="O42" s="305"/>
      <c r="P42" s="305"/>
      <c r="Q42" s="305"/>
      <c r="R42" s="305"/>
      <c r="S42" s="305"/>
      <c r="T42" s="305"/>
      <c r="U42" s="305"/>
      <c r="V42" s="305"/>
      <c r="W42" s="305"/>
      <c r="X42" s="305"/>
      <c r="Y42" s="306"/>
      <c r="Z42" s="305"/>
      <c r="AA42" s="305"/>
      <c r="AB42" s="305"/>
      <c r="AC42" s="305"/>
      <c r="AD42" s="305"/>
      <c r="AE42" s="305"/>
      <c r="AF42" s="305"/>
      <c r="AG42" s="305"/>
      <c r="AH42" s="222">
        <f t="shared" si="0"/>
        <v>0</v>
      </c>
    </row>
    <row r="43" spans="1:34">
      <c r="B43" s="48" t="s">
        <v>157</v>
      </c>
      <c r="C43" s="52"/>
      <c r="D43" s="50"/>
      <c r="H43"/>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222">
        <f t="shared" si="0"/>
        <v>0</v>
      </c>
    </row>
    <row r="44" spans="1:34">
      <c r="A44" t="s">
        <v>275</v>
      </c>
      <c r="B44" s="51" t="s">
        <v>594</v>
      </c>
      <c r="C44" s="53"/>
      <c r="D44" s="44"/>
      <c r="E44" s="37" t="s">
        <v>14</v>
      </c>
      <c r="F44" s="36" t="s">
        <v>13</v>
      </c>
      <c r="G44" s="36" t="str">
        <f>CONCATENATE(E44,F44)</f>
        <v>MISSIONManpower</v>
      </c>
      <c r="H44" s="16">
        <v>470000</v>
      </c>
      <c r="I44" t="s">
        <v>595</v>
      </c>
      <c r="J44" s="119"/>
      <c r="K44" s="119"/>
      <c r="L44" s="119"/>
      <c r="M44" s="119"/>
      <c r="N44" s="119"/>
      <c r="O44" s="119"/>
      <c r="P44" s="119"/>
      <c r="Q44" s="119"/>
      <c r="R44" s="119"/>
      <c r="S44" s="119"/>
      <c r="T44" s="119"/>
      <c r="U44" s="119"/>
      <c r="V44" s="119"/>
      <c r="W44" s="119"/>
      <c r="X44" s="119"/>
      <c r="Y44" s="305"/>
      <c r="Z44" s="119"/>
      <c r="AA44" s="119"/>
      <c r="AB44" s="119"/>
      <c r="AC44" s="119"/>
      <c r="AD44" s="119"/>
      <c r="AE44" s="119"/>
      <c r="AF44" s="119"/>
      <c r="AG44" s="119"/>
      <c r="AH44" s="222">
        <f t="shared" si="0"/>
        <v>0</v>
      </c>
    </row>
    <row r="45" spans="1:34">
      <c r="A45" t="s">
        <v>596</v>
      </c>
      <c r="B45" s="51" t="s">
        <v>597</v>
      </c>
      <c r="C45" s="53"/>
      <c r="D45" s="44"/>
      <c r="E45" s="37" t="s">
        <v>14</v>
      </c>
      <c r="F45" s="36" t="s">
        <v>117</v>
      </c>
      <c r="G45" s="36" t="str">
        <f>CONCATENATE(E45,F45)</f>
        <v>MISSIONProcurement</v>
      </c>
      <c r="H45" s="16">
        <v>470000</v>
      </c>
      <c r="I45" t="s">
        <v>595</v>
      </c>
      <c r="J45" s="119"/>
      <c r="K45" s="119"/>
      <c r="L45" s="119"/>
      <c r="M45" s="119"/>
      <c r="N45" s="119"/>
      <c r="O45" s="119"/>
      <c r="P45" s="119"/>
      <c r="Q45" s="119"/>
      <c r="R45" s="119"/>
      <c r="S45" s="119"/>
      <c r="T45" s="119"/>
      <c r="U45" s="119"/>
      <c r="V45" s="119"/>
      <c r="W45" s="119"/>
      <c r="X45" s="119"/>
      <c r="Y45" s="305"/>
      <c r="Z45" s="119"/>
      <c r="AA45" s="119"/>
      <c r="AB45" s="119"/>
      <c r="AC45" s="119"/>
      <c r="AD45" s="119"/>
      <c r="AE45" s="119"/>
      <c r="AF45" s="119"/>
      <c r="AG45" s="119"/>
      <c r="AH45" s="222">
        <f t="shared" si="0"/>
        <v>0</v>
      </c>
    </row>
    <row r="46" spans="1:34" s="16" customFormat="1">
      <c r="B46" s="45"/>
      <c r="C46" s="55"/>
      <c r="D46" s="56" t="s">
        <v>562</v>
      </c>
      <c r="E46" s="57"/>
      <c r="F46" s="57"/>
      <c r="G46" s="57"/>
      <c r="J46" s="305"/>
      <c r="K46" s="305"/>
      <c r="L46" s="305"/>
      <c r="M46" s="305"/>
      <c r="N46" s="305"/>
      <c r="O46" s="305"/>
      <c r="P46" s="305"/>
      <c r="Q46" s="305"/>
      <c r="R46" s="305"/>
      <c r="S46" s="305"/>
      <c r="T46" s="305"/>
      <c r="U46" s="305"/>
      <c r="V46" s="305"/>
      <c r="W46" s="305"/>
      <c r="X46" s="305"/>
      <c r="Y46" s="306"/>
      <c r="Z46" s="305"/>
      <c r="AA46" s="305"/>
      <c r="AB46" s="305"/>
      <c r="AC46" s="305"/>
      <c r="AD46" s="305"/>
      <c r="AE46" s="305"/>
      <c r="AF46" s="305"/>
      <c r="AG46" s="305"/>
      <c r="AH46" s="222">
        <f t="shared" si="0"/>
        <v>0</v>
      </c>
    </row>
    <row r="47" spans="1:34">
      <c r="B47" s="48" t="s">
        <v>598</v>
      </c>
      <c r="C47" s="52"/>
      <c r="D47" s="50"/>
      <c r="H47" s="17"/>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222">
        <f t="shared" si="0"/>
        <v>0</v>
      </c>
    </row>
    <row r="48" spans="1:34">
      <c r="A48" t="s">
        <v>321</v>
      </c>
      <c r="B48" s="51" t="s">
        <v>599</v>
      </c>
      <c r="C48" s="53"/>
      <c r="D48" s="44"/>
      <c r="E48" s="36" t="s">
        <v>139</v>
      </c>
      <c r="F48" s="36" t="s">
        <v>13</v>
      </c>
      <c r="G48" s="36" t="str">
        <f>CONCATENATE(E48,F48)</f>
        <v>TECHManpower</v>
      </c>
      <c r="H48" s="63" t="s">
        <v>600</v>
      </c>
      <c r="I48" s="65" t="s">
        <v>601</v>
      </c>
      <c r="J48" s="119"/>
      <c r="K48" s="119"/>
      <c r="L48" s="119"/>
      <c r="M48" s="119"/>
      <c r="N48" s="119"/>
      <c r="O48" s="119"/>
      <c r="P48" s="119"/>
      <c r="Q48" s="119"/>
      <c r="R48" s="119"/>
      <c r="S48" s="119"/>
      <c r="T48" s="119"/>
      <c r="U48" s="119"/>
      <c r="V48" s="119"/>
      <c r="W48" s="119"/>
      <c r="X48" s="119"/>
      <c r="Y48" s="309"/>
      <c r="Z48" s="119"/>
      <c r="AA48" s="119"/>
      <c r="AB48" s="119"/>
      <c r="AC48" s="119"/>
      <c r="AD48" s="119"/>
      <c r="AE48" s="119"/>
      <c r="AF48" s="119"/>
      <c r="AG48" s="119"/>
      <c r="AH48" s="222">
        <f t="shared" si="0"/>
        <v>0</v>
      </c>
    </row>
    <row r="49" spans="1:34">
      <c r="A49" t="s">
        <v>602</v>
      </c>
      <c r="B49" s="51" t="s">
        <v>603</v>
      </c>
      <c r="C49" s="53"/>
      <c r="D49" s="44"/>
      <c r="E49" s="36" t="s">
        <v>139</v>
      </c>
      <c r="F49" s="36" t="s">
        <v>117</v>
      </c>
      <c r="G49" s="36" t="str">
        <f>CONCATENATE(E49,F49)</f>
        <v>TECHProcurement</v>
      </c>
      <c r="H49" s="63" t="s">
        <v>600</v>
      </c>
      <c r="I49" s="65" t="s">
        <v>601</v>
      </c>
      <c r="J49" s="119"/>
      <c r="K49" s="119"/>
      <c r="L49" s="119"/>
      <c r="M49" s="119"/>
      <c r="N49" s="119"/>
      <c r="O49" s="119"/>
      <c r="P49" s="119"/>
      <c r="Q49" s="119"/>
      <c r="R49" s="119"/>
      <c r="S49" s="119"/>
      <c r="T49" s="119"/>
      <c r="U49" s="119"/>
      <c r="V49" s="119"/>
      <c r="W49" s="119"/>
      <c r="X49" s="119"/>
      <c r="Y49" s="309"/>
      <c r="Z49" s="119"/>
      <c r="AA49" s="119"/>
      <c r="AB49" s="119"/>
      <c r="AC49" s="119"/>
      <c r="AD49" s="119"/>
      <c r="AE49" s="119"/>
      <c r="AF49" s="119"/>
      <c r="AG49" s="119"/>
      <c r="AH49" s="222">
        <f t="shared" si="0"/>
        <v>0</v>
      </c>
    </row>
    <row r="50" spans="1:34" s="16" customFormat="1">
      <c r="B50" s="45"/>
      <c r="C50" s="55"/>
      <c r="D50" s="56" t="s">
        <v>562</v>
      </c>
      <c r="E50" s="57"/>
      <c r="F50" s="57"/>
      <c r="G50" s="57"/>
      <c r="H50" s="63"/>
      <c r="I50" s="65"/>
      <c r="J50" s="305"/>
      <c r="K50" s="305"/>
      <c r="L50" s="305"/>
      <c r="M50" s="305"/>
      <c r="N50" s="305"/>
      <c r="O50" s="305"/>
      <c r="P50" s="305"/>
      <c r="Q50" s="305"/>
      <c r="R50" s="305"/>
      <c r="S50" s="305"/>
      <c r="T50" s="305"/>
      <c r="U50" s="305"/>
      <c r="V50" s="305"/>
      <c r="W50" s="305"/>
      <c r="X50" s="305"/>
      <c r="Y50" s="306"/>
      <c r="Z50" s="305"/>
      <c r="AA50" s="305"/>
      <c r="AB50" s="305"/>
      <c r="AC50" s="305"/>
      <c r="AD50" s="305"/>
      <c r="AE50" s="305"/>
      <c r="AF50" s="305"/>
      <c r="AG50" s="305"/>
      <c r="AH50" s="222">
        <f t="shared" si="0"/>
        <v>0</v>
      </c>
    </row>
    <row r="51" spans="1:34">
      <c r="B51" s="48" t="s">
        <v>604</v>
      </c>
      <c r="C51" s="52"/>
      <c r="D51" s="50"/>
      <c r="H51" s="17"/>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222">
        <f t="shared" si="0"/>
        <v>0</v>
      </c>
    </row>
    <row r="52" spans="1:34">
      <c r="A52" t="s">
        <v>336</v>
      </c>
      <c r="B52" s="51" t="s">
        <v>605</v>
      </c>
      <c r="C52" s="53"/>
      <c r="D52" s="44"/>
      <c r="E52" s="36" t="s">
        <v>139</v>
      </c>
      <c r="F52" s="36" t="s">
        <v>13</v>
      </c>
      <c r="G52" s="36" t="str">
        <f>CONCATENATE(E52,F52)</f>
        <v>TECHManpower</v>
      </c>
      <c r="H52" s="63">
        <v>490600</v>
      </c>
      <c r="J52" s="119"/>
      <c r="K52" s="119"/>
      <c r="L52" s="119"/>
      <c r="M52" s="119"/>
      <c r="N52" s="119"/>
      <c r="O52" s="119"/>
      <c r="P52" s="119"/>
      <c r="Q52" s="119"/>
      <c r="R52" s="119"/>
      <c r="S52" s="119"/>
      <c r="T52" s="119"/>
      <c r="U52" s="119"/>
      <c r="V52" s="119"/>
      <c r="W52" s="119"/>
      <c r="X52" s="119"/>
      <c r="Y52" s="309"/>
      <c r="Z52" s="119"/>
      <c r="AA52" s="119"/>
      <c r="AB52" s="119"/>
      <c r="AC52" s="119"/>
      <c r="AD52" s="119"/>
      <c r="AE52" s="119"/>
      <c r="AF52" s="119"/>
      <c r="AG52" s="119"/>
      <c r="AH52" s="222">
        <f t="shared" si="0"/>
        <v>0</v>
      </c>
    </row>
    <row r="53" spans="1:34">
      <c r="A53" t="s">
        <v>606</v>
      </c>
      <c r="B53" s="51" t="s">
        <v>607</v>
      </c>
      <c r="C53" s="53"/>
      <c r="D53" s="44"/>
      <c r="E53" s="36" t="s">
        <v>139</v>
      </c>
      <c r="F53" s="36" t="s">
        <v>117</v>
      </c>
      <c r="G53" s="36" t="str">
        <f>CONCATENATE(E53,F53)</f>
        <v>TECHProcurement</v>
      </c>
      <c r="H53" s="63">
        <v>490600</v>
      </c>
      <c r="J53" s="119"/>
      <c r="K53" s="119"/>
      <c r="L53" s="119"/>
      <c r="M53" s="119"/>
      <c r="N53" s="119"/>
      <c r="O53" s="119"/>
      <c r="P53" s="119"/>
      <c r="Q53" s="119"/>
      <c r="R53" s="119"/>
      <c r="S53" s="119"/>
      <c r="T53" s="119"/>
      <c r="U53" s="119"/>
      <c r="V53" s="119"/>
      <c r="W53" s="119"/>
      <c r="X53" s="119"/>
      <c r="Y53" s="309"/>
      <c r="Z53" s="119"/>
      <c r="AA53" s="119"/>
      <c r="AB53" s="119"/>
      <c r="AC53" s="119"/>
      <c r="AD53" s="119"/>
      <c r="AE53" s="119"/>
      <c r="AF53" s="119"/>
      <c r="AG53" s="119"/>
      <c r="AH53" s="222">
        <f t="shared" si="0"/>
        <v>0</v>
      </c>
    </row>
    <row r="54" spans="1:34" s="16" customFormat="1">
      <c r="B54" s="45"/>
      <c r="C54" s="55"/>
      <c r="D54" s="56" t="s">
        <v>562</v>
      </c>
      <c r="E54" s="57"/>
      <c r="F54" s="57"/>
      <c r="G54" s="57"/>
      <c r="H54" s="63"/>
      <c r="J54" s="305"/>
      <c r="K54" s="305"/>
      <c r="L54" s="305"/>
      <c r="M54" s="305"/>
      <c r="N54" s="305"/>
      <c r="O54" s="305"/>
      <c r="P54" s="305"/>
      <c r="Q54" s="305"/>
      <c r="R54" s="305"/>
      <c r="S54" s="305"/>
      <c r="T54" s="305"/>
      <c r="U54" s="305"/>
      <c r="V54" s="305"/>
      <c r="W54" s="305"/>
      <c r="X54" s="305"/>
      <c r="Y54" s="306"/>
      <c r="Z54" s="305"/>
      <c r="AA54" s="305"/>
      <c r="AB54" s="305"/>
      <c r="AC54" s="305"/>
      <c r="AD54" s="305"/>
      <c r="AE54" s="305"/>
      <c r="AF54" s="305"/>
      <c r="AG54" s="305"/>
      <c r="AH54" s="222">
        <f t="shared" si="0"/>
        <v>0</v>
      </c>
    </row>
    <row r="55" spans="1:34">
      <c r="B55" s="48" t="s">
        <v>642</v>
      </c>
      <c r="C55" s="52"/>
      <c r="D55" s="50"/>
      <c r="H55" s="17"/>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222">
        <f t="shared" si="0"/>
        <v>0</v>
      </c>
    </row>
    <row r="56" spans="1:34">
      <c r="A56" t="s">
        <v>331</v>
      </c>
      <c r="B56" s="51" t="s">
        <v>609</v>
      </c>
      <c r="C56" s="53"/>
      <c r="D56" s="44"/>
      <c r="E56" s="37" t="s">
        <v>14</v>
      </c>
      <c r="F56" s="36" t="s">
        <v>117</v>
      </c>
      <c r="G56" s="36" t="str">
        <f>CONCATENATE(E56,F56)</f>
        <v>MISSIONProcurement</v>
      </c>
      <c r="H56" s="16">
        <v>490540</v>
      </c>
      <c r="J56" s="119"/>
      <c r="K56" s="119"/>
      <c r="L56" s="119"/>
      <c r="M56" s="119"/>
      <c r="N56" s="119"/>
      <c r="O56" s="119"/>
      <c r="P56" s="119"/>
      <c r="Q56" s="119"/>
      <c r="R56" s="119"/>
      <c r="S56" s="119"/>
      <c r="T56" s="119"/>
      <c r="U56" s="119"/>
      <c r="V56" s="119"/>
      <c r="W56" s="119"/>
      <c r="X56" s="119"/>
      <c r="Y56" s="305"/>
      <c r="Z56" s="119"/>
      <c r="AA56" s="119"/>
      <c r="AB56" s="119"/>
      <c r="AC56" s="119"/>
      <c r="AD56" s="119"/>
      <c r="AE56" s="119"/>
      <c r="AF56" s="119"/>
      <c r="AG56" s="119"/>
      <c r="AH56" s="222">
        <f t="shared" si="0"/>
        <v>0</v>
      </c>
    </row>
    <row r="57" spans="1:34" s="16" customFormat="1">
      <c r="B57" s="45"/>
      <c r="C57" s="55"/>
      <c r="D57" s="56" t="s">
        <v>562</v>
      </c>
      <c r="E57" s="57"/>
      <c r="F57" s="57"/>
      <c r="G57" s="57"/>
      <c r="H57" s="17"/>
      <c r="J57" s="305"/>
      <c r="K57" s="305"/>
      <c r="L57" s="305"/>
      <c r="M57" s="305"/>
      <c r="N57" s="305"/>
      <c r="O57" s="305"/>
      <c r="P57" s="305"/>
      <c r="Q57" s="305"/>
      <c r="R57" s="305"/>
      <c r="S57" s="305"/>
      <c r="T57" s="305"/>
      <c r="U57" s="305"/>
      <c r="V57" s="305"/>
      <c r="W57" s="305"/>
      <c r="X57" s="305"/>
      <c r="Y57" s="306"/>
      <c r="Z57" s="305"/>
      <c r="AA57" s="305"/>
      <c r="AB57" s="305"/>
      <c r="AC57" s="305"/>
      <c r="AD57" s="305"/>
      <c r="AE57" s="305"/>
      <c r="AF57" s="305"/>
      <c r="AG57" s="305"/>
      <c r="AH57" s="222">
        <f t="shared" si="0"/>
        <v>0</v>
      </c>
    </row>
    <row r="58" spans="1:34">
      <c r="B58" s="46" t="s">
        <v>611</v>
      </c>
      <c r="C58" s="47"/>
      <c r="D58" s="41"/>
      <c r="H58"/>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222">
        <f t="shared" si="0"/>
        <v>0</v>
      </c>
    </row>
    <row r="59" spans="1:34">
      <c r="B59" s="48" t="s">
        <v>612</v>
      </c>
      <c r="C59" s="49"/>
      <c r="D59" s="50"/>
      <c r="H59"/>
      <c r="J59" s="119"/>
      <c r="K59" s="119"/>
      <c r="L59" s="119"/>
      <c r="M59" s="119"/>
      <c r="N59" s="119"/>
      <c r="O59" s="119"/>
      <c r="P59" s="119"/>
      <c r="Q59" s="119"/>
      <c r="R59" s="119"/>
      <c r="S59" s="119"/>
      <c r="T59" s="119"/>
      <c r="U59" s="119"/>
      <c r="V59" s="119"/>
      <c r="W59" s="119"/>
      <c r="X59" s="119"/>
      <c r="Y59" s="119"/>
      <c r="Z59" s="119"/>
      <c r="AA59" s="119"/>
      <c r="AB59" s="119"/>
      <c r="AC59" s="119"/>
      <c r="AD59" s="119"/>
      <c r="AE59" s="119"/>
      <c r="AF59" s="119"/>
      <c r="AG59" s="119"/>
      <c r="AH59" s="222">
        <f t="shared" si="0"/>
        <v>0</v>
      </c>
    </row>
    <row r="60" spans="1:34">
      <c r="A60" t="s">
        <v>230</v>
      </c>
      <c r="B60" s="51" t="s">
        <v>613</v>
      </c>
      <c r="C60" s="54"/>
      <c r="D60" s="44"/>
      <c r="E60" s="36" t="s">
        <v>139</v>
      </c>
      <c r="F60" s="36" t="s">
        <v>13</v>
      </c>
      <c r="G60" s="36" t="str">
        <f>CONCATENATE(E60,F60)</f>
        <v>TECHManpower</v>
      </c>
      <c r="H60" t="s">
        <v>614</v>
      </c>
      <c r="J60" s="309"/>
      <c r="K60" s="309"/>
      <c r="L60" s="309"/>
      <c r="M60" s="309"/>
      <c r="N60" s="309"/>
      <c r="O60" s="309"/>
      <c r="P60" s="310"/>
      <c r="Q60" s="119"/>
      <c r="R60" s="119"/>
      <c r="S60" s="119"/>
      <c r="T60" s="119"/>
      <c r="U60" s="119"/>
      <c r="V60" s="119"/>
      <c r="W60" s="119"/>
      <c r="X60" s="119"/>
      <c r="Y60" s="119"/>
      <c r="Z60" s="309"/>
      <c r="AA60" s="309"/>
      <c r="AB60" s="309"/>
      <c r="AC60" s="309"/>
      <c r="AD60" s="309"/>
      <c r="AE60" s="309"/>
      <c r="AF60" s="309"/>
      <c r="AG60" s="309"/>
      <c r="AH60" s="222">
        <f t="shared" si="0"/>
        <v>0</v>
      </c>
    </row>
    <row r="61" spans="1:34">
      <c r="A61" t="s">
        <v>138</v>
      </c>
      <c r="B61" s="51" t="s">
        <v>615</v>
      </c>
      <c r="C61" s="54"/>
      <c r="D61" s="44"/>
      <c r="E61" s="36" t="s">
        <v>139</v>
      </c>
      <c r="F61" s="36" t="s">
        <v>117</v>
      </c>
      <c r="G61" s="36" t="str">
        <f>CONCATENATE(E61,F61)</f>
        <v>TECHProcurement</v>
      </c>
      <c r="H61" t="s">
        <v>616</v>
      </c>
      <c r="I61" s="65" t="s">
        <v>610</v>
      </c>
      <c r="J61" s="309"/>
      <c r="K61" s="309"/>
      <c r="L61" s="309"/>
      <c r="M61" s="309"/>
      <c r="N61" s="309"/>
      <c r="O61" s="309"/>
      <c r="P61" s="309"/>
      <c r="Q61" s="119"/>
      <c r="R61" s="119"/>
      <c r="S61" s="119"/>
      <c r="T61" s="119"/>
      <c r="U61" s="119"/>
      <c r="V61" s="119"/>
      <c r="W61" s="119"/>
      <c r="X61" s="119"/>
      <c r="Y61" s="119"/>
      <c r="Z61" s="309"/>
      <c r="AA61" s="309"/>
      <c r="AB61" s="309"/>
      <c r="AC61" s="309"/>
      <c r="AD61" s="309"/>
      <c r="AE61" s="309"/>
      <c r="AF61" s="309"/>
      <c r="AG61" s="309"/>
      <c r="AH61" s="222">
        <f t="shared" si="0"/>
        <v>0</v>
      </c>
    </row>
    <row r="62" spans="1:34" s="16" customFormat="1">
      <c r="B62" s="45"/>
      <c r="C62" s="55"/>
      <c r="D62" s="56" t="s">
        <v>562</v>
      </c>
      <c r="E62" s="57"/>
      <c r="F62" s="57"/>
      <c r="G62" s="57"/>
      <c r="H62" s="17"/>
      <c r="J62" s="305"/>
      <c r="K62" s="305"/>
      <c r="L62" s="305"/>
      <c r="M62" s="305"/>
      <c r="N62" s="305"/>
      <c r="O62" s="305"/>
      <c r="P62" s="305"/>
      <c r="Q62" s="305"/>
      <c r="R62" s="305"/>
      <c r="S62" s="305"/>
      <c r="T62" s="305"/>
      <c r="U62" s="305"/>
      <c r="V62" s="305"/>
      <c r="W62" s="305"/>
      <c r="X62" s="305"/>
      <c r="Y62" s="306"/>
      <c r="Z62" s="305"/>
      <c r="AA62" s="305"/>
      <c r="AB62" s="305"/>
      <c r="AC62" s="305"/>
      <c r="AD62" s="305"/>
      <c r="AE62" s="305"/>
      <c r="AF62" s="305"/>
      <c r="AG62" s="305"/>
      <c r="AH62" s="222">
        <f t="shared" si="0"/>
        <v>0</v>
      </c>
    </row>
    <row r="63" spans="1:34">
      <c r="B63" s="48" t="s">
        <v>617</v>
      </c>
      <c r="C63" s="49"/>
      <c r="D63" s="50"/>
      <c r="H63"/>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222">
        <f t="shared" si="0"/>
        <v>0</v>
      </c>
    </row>
    <row r="64" spans="1:34">
      <c r="A64" t="s">
        <v>293</v>
      </c>
      <c r="B64" s="51" t="s">
        <v>618</v>
      </c>
      <c r="C64" s="54"/>
      <c r="D64" s="44"/>
      <c r="E64" s="37" t="s">
        <v>139</v>
      </c>
      <c r="F64" s="36" t="s">
        <v>13</v>
      </c>
      <c r="G64" s="36" t="str">
        <f>CONCATENATE(E64,F64)</f>
        <v>TECHManpower</v>
      </c>
      <c r="H64" s="61">
        <v>480000</v>
      </c>
      <c r="I64" t="s">
        <v>619</v>
      </c>
      <c r="J64" s="119"/>
      <c r="K64" s="119"/>
      <c r="L64" s="119"/>
      <c r="M64" s="119"/>
      <c r="N64" s="119"/>
      <c r="O64" s="119"/>
      <c r="P64" s="119"/>
      <c r="Q64" s="119"/>
      <c r="R64" s="119"/>
      <c r="S64" s="119"/>
      <c r="T64" s="119"/>
      <c r="U64" s="119"/>
      <c r="V64" s="119"/>
      <c r="W64" s="119"/>
      <c r="X64" s="119"/>
      <c r="Y64" s="308"/>
      <c r="Z64" s="119"/>
      <c r="AA64" s="119"/>
      <c r="AB64" s="119"/>
      <c r="AC64" s="119"/>
      <c r="AD64" s="119"/>
      <c r="AE64" s="119"/>
      <c r="AF64" s="119"/>
      <c r="AG64" s="119"/>
      <c r="AH64" s="222">
        <f t="shared" si="0"/>
        <v>0</v>
      </c>
    </row>
    <row r="65" spans="1:34">
      <c r="A65" t="s">
        <v>620</v>
      </c>
      <c r="B65" s="51" t="s">
        <v>621</v>
      </c>
      <c r="C65" s="54"/>
      <c r="D65" s="44"/>
      <c r="E65" s="36" t="s">
        <v>139</v>
      </c>
      <c r="F65" s="36" t="s">
        <v>117</v>
      </c>
      <c r="G65" s="36" t="str">
        <f>CONCATENATE(E65,F65)</f>
        <v>TECHProcurement</v>
      </c>
      <c r="H65" s="61">
        <v>480000</v>
      </c>
      <c r="J65" s="119"/>
      <c r="K65" s="119"/>
      <c r="L65" s="119"/>
      <c r="M65" s="119"/>
      <c r="N65" s="119"/>
      <c r="O65" s="119"/>
      <c r="P65" s="119"/>
      <c r="Q65" s="119"/>
      <c r="R65" s="119"/>
      <c r="S65" s="119"/>
      <c r="T65" s="119"/>
      <c r="U65" s="119"/>
      <c r="V65" s="119"/>
      <c r="W65" s="119"/>
      <c r="X65" s="119"/>
      <c r="Y65" s="308"/>
      <c r="Z65" s="119"/>
      <c r="AA65" s="119"/>
      <c r="AB65" s="119"/>
      <c r="AC65" s="119"/>
      <c r="AD65" s="119"/>
      <c r="AE65" s="119"/>
      <c r="AF65" s="119"/>
      <c r="AG65" s="119"/>
      <c r="AH65" s="222">
        <f t="shared" si="0"/>
        <v>0</v>
      </c>
    </row>
    <row r="66" spans="1:34" s="16" customFormat="1">
      <c r="B66" s="45"/>
      <c r="C66" s="55"/>
      <c r="D66" s="56" t="s">
        <v>562</v>
      </c>
      <c r="E66" s="57"/>
      <c r="F66" s="57"/>
      <c r="G66" s="57"/>
      <c r="H66" s="17"/>
      <c r="J66" s="305"/>
      <c r="K66" s="305"/>
      <c r="L66" s="305"/>
      <c r="M66" s="305"/>
      <c r="N66" s="305"/>
      <c r="O66" s="305"/>
      <c r="P66" s="305"/>
      <c r="Q66" s="305"/>
      <c r="R66" s="305"/>
      <c r="S66" s="305"/>
      <c r="T66" s="305"/>
      <c r="U66" s="305"/>
      <c r="V66" s="305"/>
      <c r="W66" s="305"/>
      <c r="X66" s="305"/>
      <c r="Y66" s="306"/>
      <c r="Z66" s="305"/>
      <c r="AA66" s="305"/>
      <c r="AB66" s="305"/>
      <c r="AC66" s="305"/>
      <c r="AD66" s="305"/>
      <c r="AE66" s="305"/>
      <c r="AF66" s="305"/>
      <c r="AG66" s="305"/>
      <c r="AH66" s="222">
        <f t="shared" si="0"/>
        <v>0</v>
      </c>
    </row>
    <row r="67" spans="1:34">
      <c r="A67" t="s">
        <v>377</v>
      </c>
      <c r="B67" s="48" t="s">
        <v>622</v>
      </c>
      <c r="C67" s="49"/>
      <c r="D67" s="50"/>
      <c r="E67" s="36" t="s">
        <v>139</v>
      </c>
      <c r="F67" s="36" t="s">
        <v>117</v>
      </c>
      <c r="G67" s="36" t="str">
        <f>CONCATENATE(E67,F67)</f>
        <v>TECHProcurement</v>
      </c>
      <c r="H67" s="16">
        <v>540000</v>
      </c>
      <c r="J67" s="119"/>
      <c r="K67" s="119"/>
      <c r="L67" s="119"/>
      <c r="M67" s="119"/>
      <c r="N67" s="119"/>
      <c r="O67" s="119"/>
      <c r="P67" s="119"/>
      <c r="Q67" s="119"/>
      <c r="R67" s="119"/>
      <c r="S67" s="119"/>
      <c r="T67" s="119"/>
      <c r="U67" s="119"/>
      <c r="V67" s="119"/>
      <c r="W67" s="119"/>
      <c r="X67" s="119"/>
      <c r="Y67" s="305"/>
      <c r="Z67" s="119"/>
      <c r="AA67" s="119"/>
      <c r="AB67" s="119"/>
      <c r="AC67" s="119"/>
      <c r="AD67" s="119"/>
      <c r="AE67" s="119"/>
      <c r="AF67" s="119"/>
      <c r="AG67" s="119"/>
      <c r="AH67" s="222">
        <f t="shared" si="0"/>
        <v>0</v>
      </c>
    </row>
    <row r="68" spans="1:34">
      <c r="B68" s="20" t="s">
        <v>623</v>
      </c>
      <c r="C68" s="21"/>
      <c r="D68" s="22"/>
      <c r="H68"/>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222">
        <f t="shared" si="0"/>
        <v>0</v>
      </c>
    </row>
    <row r="69" spans="1:34" ht="21.95" customHeight="1">
      <c r="B69" s="23"/>
      <c r="C69" s="5"/>
      <c r="D69" s="5"/>
      <c r="E69"/>
      <c r="F69"/>
      <c r="G69"/>
      <c r="H69"/>
      <c r="J69" s="222"/>
      <c r="K69" s="222"/>
      <c r="L69" s="222"/>
      <c r="M69" s="222"/>
      <c r="N69" s="222"/>
      <c r="O69" s="222"/>
      <c r="P69" s="222"/>
      <c r="Q69" s="222"/>
      <c r="R69" s="222"/>
      <c r="S69" s="222"/>
      <c r="T69" s="222"/>
      <c r="U69" s="311"/>
      <c r="V69" s="222"/>
      <c r="W69" s="222"/>
      <c r="X69" s="222"/>
      <c r="Y69" s="222"/>
      <c r="Z69" s="222"/>
      <c r="AA69" s="222"/>
      <c r="AB69" s="222"/>
      <c r="AC69" s="222"/>
      <c r="AD69" s="222"/>
      <c r="AE69" s="222"/>
      <c r="AF69" s="222"/>
      <c r="AG69" s="222"/>
      <c r="AH69" s="222">
        <f t="shared" si="0"/>
        <v>0</v>
      </c>
    </row>
    <row r="70" spans="1:34" ht="21.95" customHeight="1">
      <c r="A70" t="s">
        <v>9</v>
      </c>
      <c r="B70" s="12" t="s">
        <v>624</v>
      </c>
      <c r="C70" s="13"/>
      <c r="D70" s="14"/>
      <c r="E70" s="37" t="s">
        <v>14</v>
      </c>
      <c r="F70" s="36" t="s">
        <v>117</v>
      </c>
      <c r="G70" s="36" t="str">
        <f>CONCATENATE(E70,F70)</f>
        <v>MISSIONProcurement</v>
      </c>
      <c r="H70" s="16">
        <v>320000</v>
      </c>
      <c r="J70" s="222"/>
      <c r="K70" s="222"/>
      <c r="L70" s="222"/>
      <c r="M70" s="222"/>
      <c r="N70" s="222"/>
      <c r="O70" s="222"/>
      <c r="P70" s="222"/>
      <c r="Q70" s="222"/>
      <c r="R70" s="222"/>
      <c r="S70" s="222"/>
      <c r="T70" s="222"/>
      <c r="U70" s="222"/>
      <c r="V70" s="222"/>
      <c r="W70" s="222"/>
      <c r="X70" s="222"/>
      <c r="Y70" s="222"/>
      <c r="Z70" s="222"/>
      <c r="AA70" s="222"/>
      <c r="AB70" s="222"/>
      <c r="AC70" s="222"/>
      <c r="AD70" s="222"/>
      <c r="AE70" s="222"/>
      <c r="AF70" s="222"/>
      <c r="AG70" s="222"/>
      <c r="AH70" s="222">
        <f t="shared" si="0"/>
        <v>0</v>
      </c>
    </row>
    <row r="71" spans="1:34" ht="21.95" customHeight="1">
      <c r="B71" s="5"/>
      <c r="C71" s="5"/>
      <c r="D71" s="5"/>
      <c r="E71"/>
      <c r="F71"/>
      <c r="G71"/>
      <c r="H71"/>
      <c r="J71" s="222"/>
      <c r="K71" s="222"/>
      <c r="L71" s="222"/>
      <c r="M71" s="222"/>
      <c r="N71" s="222"/>
      <c r="O71" s="222"/>
      <c r="P71" s="222"/>
      <c r="Q71" s="222"/>
      <c r="R71" s="222"/>
      <c r="S71" s="222"/>
      <c r="T71" s="222"/>
      <c r="U71" s="222"/>
      <c r="V71" s="222"/>
      <c r="W71" s="222"/>
      <c r="X71" s="222"/>
      <c r="Y71" s="222"/>
      <c r="Z71" s="222"/>
      <c r="AA71" s="222"/>
      <c r="AB71" s="222"/>
      <c r="AC71" s="222"/>
      <c r="AD71" s="222"/>
      <c r="AE71" s="222"/>
      <c r="AF71" s="222"/>
      <c r="AG71" s="222"/>
      <c r="AH71" s="222">
        <f t="shared" si="0"/>
        <v>0</v>
      </c>
    </row>
    <row r="72" spans="1:34">
      <c r="B72" s="23"/>
      <c r="C72" s="5"/>
      <c r="D72" s="5"/>
      <c r="H72"/>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c r="AG72" s="119"/>
      <c r="AH72" s="222">
        <f t="shared" si="0"/>
        <v>0</v>
      </c>
    </row>
    <row r="73" spans="1:34">
      <c r="B73" s="12" t="s">
        <v>625</v>
      </c>
      <c r="C73" s="13"/>
      <c r="D73" s="14"/>
      <c r="H73"/>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19"/>
      <c r="AH73" s="222">
        <f t="shared" si="0"/>
        <v>0</v>
      </c>
    </row>
    <row r="74" spans="1:34">
      <c r="A74" t="s">
        <v>389</v>
      </c>
      <c r="B74" s="321" t="s">
        <v>626</v>
      </c>
      <c r="C74" s="19"/>
      <c r="D74" s="315"/>
      <c r="E74" s="37" t="s">
        <v>14</v>
      </c>
      <c r="F74" s="36" t="s">
        <v>13</v>
      </c>
      <c r="G74" s="36" t="str">
        <f>CONCATENATE(E74,F74)</f>
        <v>MISSIONManpower</v>
      </c>
      <c r="H74" s="64" t="s">
        <v>627</v>
      </c>
      <c r="J74" s="119"/>
      <c r="K74" s="119"/>
      <c r="L74" s="119"/>
      <c r="M74" s="119"/>
      <c r="N74" s="119"/>
      <c r="O74" s="119"/>
      <c r="P74" s="119"/>
      <c r="Q74" s="119"/>
      <c r="R74" s="119"/>
      <c r="S74" s="119"/>
      <c r="T74" s="119"/>
      <c r="U74" s="119"/>
      <c r="V74" s="119"/>
      <c r="W74" s="119"/>
      <c r="X74" s="119"/>
      <c r="Y74" s="312"/>
      <c r="Z74" s="119"/>
      <c r="AA74" s="119"/>
      <c r="AB74" s="119"/>
      <c r="AC74" s="119"/>
      <c r="AD74" s="119"/>
      <c r="AE74" s="119"/>
      <c r="AF74" s="119"/>
      <c r="AG74" s="119"/>
      <c r="AH74" s="222">
        <f t="shared" si="0"/>
        <v>0</v>
      </c>
    </row>
    <row r="75" spans="1:34">
      <c r="A75" t="s">
        <v>434</v>
      </c>
      <c r="B75" s="603" t="s">
        <v>432</v>
      </c>
      <c r="C75" s="5"/>
      <c r="D75" s="316"/>
      <c r="E75" s="37" t="s">
        <v>14</v>
      </c>
      <c r="F75" s="36" t="s">
        <v>13</v>
      </c>
      <c r="G75" s="36" t="str">
        <f>CONCATENATE(E75,F75)</f>
        <v>MISSIONManpower</v>
      </c>
      <c r="H75" s="60" t="s">
        <v>628</v>
      </c>
      <c r="J75" s="305"/>
      <c r="K75" s="119"/>
      <c r="L75" s="119"/>
      <c r="M75" s="119"/>
      <c r="N75" s="119"/>
      <c r="O75" s="119"/>
      <c r="P75" s="119"/>
      <c r="Q75" s="119"/>
      <c r="R75" s="119"/>
      <c r="S75" s="119"/>
      <c r="T75" s="119"/>
      <c r="U75" s="119"/>
      <c r="V75" s="119"/>
      <c r="W75" s="119"/>
      <c r="X75" s="119"/>
      <c r="Y75" s="304"/>
      <c r="Z75" s="305"/>
      <c r="AA75" s="119"/>
      <c r="AB75" s="119"/>
      <c r="AC75" s="119"/>
      <c r="AD75" s="119"/>
      <c r="AE75" s="119"/>
      <c r="AF75" s="119"/>
      <c r="AG75" s="119"/>
      <c r="AH75" s="222">
        <f t="shared" si="0"/>
        <v>0</v>
      </c>
    </row>
    <row r="76" spans="1:34">
      <c r="A76" t="s">
        <v>427</v>
      </c>
      <c r="B76" s="322" t="s">
        <v>629</v>
      </c>
      <c r="C76" s="5"/>
      <c r="D76" s="316"/>
      <c r="E76" s="36" t="s">
        <v>139</v>
      </c>
      <c r="F76" s="36" t="s">
        <v>13</v>
      </c>
      <c r="G76" s="36" t="str">
        <f>CONCATENATE(E76,F76)</f>
        <v>TECHManpower</v>
      </c>
      <c r="H76" s="16">
        <v>650000</v>
      </c>
      <c r="J76" s="119">
        <f>(AIUB!E11-AIUB!E9)/4</f>
        <v>20.410714989638237</v>
      </c>
      <c r="K76" s="119">
        <f>J76</f>
        <v>20.410714989638237</v>
      </c>
      <c r="L76" s="119">
        <f t="shared" ref="L76:M76" si="1">K76</f>
        <v>20.410714989638237</v>
      </c>
      <c r="M76" s="119">
        <f t="shared" si="1"/>
        <v>20.410714989638237</v>
      </c>
      <c r="N76" s="119">
        <f>(AIUB!F11-AIUB!F9)/4</f>
        <v>20.410714989638237</v>
      </c>
      <c r="O76" s="119">
        <f>N76</f>
        <v>20.410714989638237</v>
      </c>
      <c r="P76" s="119">
        <f t="shared" ref="P76:Q76" si="2">O76</f>
        <v>20.410714989638237</v>
      </c>
      <c r="Q76" s="119">
        <f t="shared" si="2"/>
        <v>20.410714989638237</v>
      </c>
      <c r="R76" s="119">
        <f>(AIUB!G11-AIUB!G9)/4</f>
        <v>20.410714989638237</v>
      </c>
      <c r="S76" s="119">
        <f>R76</f>
        <v>20.410714989638237</v>
      </c>
      <c r="T76" s="119">
        <f t="shared" ref="T76:U76" si="3">S76</f>
        <v>20.410714989638237</v>
      </c>
      <c r="U76" s="119">
        <f t="shared" si="3"/>
        <v>20.410714989638237</v>
      </c>
      <c r="V76" s="119">
        <f>(AIUB!H11-AIUB!H9)/4</f>
        <v>20.410714989638237</v>
      </c>
      <c r="W76" s="119">
        <f>V76</f>
        <v>20.410714989638237</v>
      </c>
      <c r="X76" s="119">
        <f t="shared" ref="X76:Y76" si="4">W76</f>
        <v>20.410714989638237</v>
      </c>
      <c r="Y76" s="119">
        <f t="shared" si="4"/>
        <v>20.410714989638237</v>
      </c>
      <c r="Z76" s="119">
        <f>(AIUB!I11-AIUB!I9)/4</f>
        <v>34.818278511735812</v>
      </c>
      <c r="AA76" s="119">
        <f>Z76</f>
        <v>34.818278511735812</v>
      </c>
      <c r="AB76" s="119">
        <f t="shared" ref="AB76:AC76" si="5">AA76</f>
        <v>34.818278511735812</v>
      </c>
      <c r="AC76" s="119">
        <f t="shared" si="5"/>
        <v>34.818278511735812</v>
      </c>
      <c r="AD76" s="119">
        <f>(AIUB!J11-AIUB!J9)/4</f>
        <v>35.826807958282643</v>
      </c>
      <c r="AE76" s="119">
        <f>AD76</f>
        <v>35.826807958282643</v>
      </c>
      <c r="AF76" s="119">
        <f t="shared" ref="AF76:AG76" si="6">AE76</f>
        <v>35.826807958282643</v>
      </c>
      <c r="AG76" s="119">
        <f t="shared" si="6"/>
        <v>35.826807958282643</v>
      </c>
      <c r="AH76" s="222">
        <f t="shared" si="0"/>
        <v>609.15178571428544</v>
      </c>
    </row>
    <row r="77" spans="1:34">
      <c r="A77" t="s">
        <v>396</v>
      </c>
      <c r="B77" s="322" t="s">
        <v>630</v>
      </c>
      <c r="C77" s="5"/>
      <c r="D77" s="316"/>
      <c r="E77" s="37" t="s">
        <v>14</v>
      </c>
      <c r="F77" s="37" t="s">
        <v>117</v>
      </c>
      <c r="G77" s="36" t="str">
        <f>CONCATENATE(E77,F77)</f>
        <v>MISSIONProcurement</v>
      </c>
      <c r="H77">
        <v>620100</v>
      </c>
      <c r="I77" s="18"/>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c r="AH77" s="222">
        <f t="shared" si="0"/>
        <v>0</v>
      </c>
    </row>
    <row r="78" spans="1:34" ht="15.75" thickBot="1">
      <c r="A78" t="s">
        <v>631</v>
      </c>
      <c r="B78" s="602" t="s">
        <v>632</v>
      </c>
      <c r="C78" s="318"/>
      <c r="D78" s="319"/>
      <c r="E78" s="37" t="s">
        <v>14</v>
      </c>
      <c r="F78" s="36" t="s">
        <v>117</v>
      </c>
      <c r="G78" s="36" t="str">
        <f>CONCATENATE(E78,F78)</f>
        <v>MISSIONProcurement</v>
      </c>
      <c r="H78" t="s">
        <v>643</v>
      </c>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19"/>
      <c r="AG78" s="119"/>
      <c r="AH78" s="222">
        <f t="shared" si="0"/>
        <v>0</v>
      </c>
    </row>
    <row r="79" spans="1:34">
      <c r="A79" t="s">
        <v>633</v>
      </c>
      <c r="B79" s="25" t="s">
        <v>465</v>
      </c>
      <c r="C79" s="26"/>
      <c r="D79" s="27"/>
      <c r="H79"/>
      <c r="J79" s="119">
        <f>J81*0.2</f>
        <v>4.2501555671937643</v>
      </c>
      <c r="K79" s="119">
        <f t="shared" ref="K79:AG79" si="7">K81*0.2</f>
        <v>4.2501555671937643</v>
      </c>
      <c r="L79" s="119">
        <f t="shared" si="7"/>
        <v>4.2501555671937643</v>
      </c>
      <c r="M79" s="119">
        <f t="shared" si="7"/>
        <v>4.2501555671937643</v>
      </c>
      <c r="N79" s="119">
        <f t="shared" si="7"/>
        <v>4.2501555671937643</v>
      </c>
      <c r="O79" s="119">
        <f t="shared" si="7"/>
        <v>4.2501555671937643</v>
      </c>
      <c r="P79" s="119">
        <f t="shared" si="7"/>
        <v>4.2501555671937643</v>
      </c>
      <c r="Q79" s="119">
        <f t="shared" si="7"/>
        <v>4.2501555671937643</v>
      </c>
      <c r="R79" s="119">
        <f t="shared" si="7"/>
        <v>4.2501555671937643</v>
      </c>
      <c r="S79" s="119">
        <f t="shared" si="7"/>
        <v>4.2501555671937643</v>
      </c>
      <c r="T79" s="119">
        <f t="shared" si="7"/>
        <v>4.2501555671937643</v>
      </c>
      <c r="U79" s="119">
        <f t="shared" si="7"/>
        <v>4.2501555671937643</v>
      </c>
      <c r="V79" s="119">
        <f t="shared" si="7"/>
        <v>4.2501555671937643</v>
      </c>
      <c r="W79" s="119">
        <f t="shared" si="7"/>
        <v>4.2501555671937643</v>
      </c>
      <c r="X79" s="119">
        <f t="shared" si="7"/>
        <v>4.2501555671937643</v>
      </c>
      <c r="Y79" s="119">
        <f t="shared" si="7"/>
        <v>4.2501555671937643</v>
      </c>
      <c r="Z79" s="119">
        <f t="shared" si="7"/>
        <v>7.2502653793305392</v>
      </c>
      <c r="AA79" s="119">
        <f t="shared" si="7"/>
        <v>7.2502653793305392</v>
      </c>
      <c r="AB79" s="119">
        <f t="shared" si="7"/>
        <v>7.2502653793305392</v>
      </c>
      <c r="AC79" s="119">
        <f t="shared" si="7"/>
        <v>7.2502653793305392</v>
      </c>
      <c r="AD79" s="119">
        <f t="shared" si="7"/>
        <v>7.4602730661801138</v>
      </c>
      <c r="AE79" s="119">
        <f t="shared" si="7"/>
        <v>7.4602730661801138</v>
      </c>
      <c r="AF79" s="119">
        <f t="shared" si="7"/>
        <v>7.4602730661801138</v>
      </c>
      <c r="AG79" s="119">
        <f t="shared" si="7"/>
        <v>7.4602730661801138</v>
      </c>
      <c r="AH79" s="222">
        <f t="shared" ref="AH79" si="8">SUM(J79:AG79)</f>
        <v>126.84464285714283</v>
      </c>
    </row>
    <row r="80" spans="1:34">
      <c r="J80" s="222"/>
      <c r="K80" s="222"/>
      <c r="L80" s="222"/>
      <c r="M80" s="222"/>
      <c r="N80" s="222"/>
      <c r="O80" s="222"/>
      <c r="P80" s="222"/>
      <c r="Q80" s="222"/>
      <c r="R80" s="222"/>
      <c r="S80" s="222"/>
      <c r="T80" s="222"/>
      <c r="U80" s="222"/>
      <c r="V80" s="222"/>
      <c r="W80" s="222"/>
      <c r="X80" s="222"/>
      <c r="Y80" s="222"/>
      <c r="Z80" s="222"/>
      <c r="AA80" s="222"/>
      <c r="AB80" s="222"/>
      <c r="AC80" s="222"/>
      <c r="AD80" s="222"/>
      <c r="AE80" s="222"/>
      <c r="AF80" s="222"/>
      <c r="AG80" s="222"/>
      <c r="AH80" s="222"/>
    </row>
    <row r="81" spans="2:35">
      <c r="B81" s="23" t="s">
        <v>634</v>
      </c>
      <c r="J81" s="222">
        <f>SUM(J14:J78)</f>
        <v>21.250777835968822</v>
      </c>
      <c r="K81" s="222">
        <f t="shared" ref="K81:AI81" si="9">SUM(K14:K78)</f>
        <v>21.250777835968822</v>
      </c>
      <c r="L81" s="222">
        <f t="shared" si="9"/>
        <v>21.250777835968822</v>
      </c>
      <c r="M81" s="222">
        <f t="shared" si="9"/>
        <v>21.250777835968822</v>
      </c>
      <c r="N81" s="222">
        <f t="shared" si="9"/>
        <v>21.250777835968822</v>
      </c>
      <c r="O81" s="222">
        <f t="shared" si="9"/>
        <v>21.250777835968822</v>
      </c>
      <c r="P81" s="222">
        <f t="shared" si="9"/>
        <v>21.250777835968822</v>
      </c>
      <c r="Q81" s="222">
        <f t="shared" si="9"/>
        <v>21.250777835968822</v>
      </c>
      <c r="R81" s="222">
        <f t="shared" si="9"/>
        <v>21.250777835968822</v>
      </c>
      <c r="S81" s="222">
        <f t="shared" si="9"/>
        <v>21.250777835968822</v>
      </c>
      <c r="T81" s="222">
        <f t="shared" si="9"/>
        <v>21.250777835968822</v>
      </c>
      <c r="U81" s="222">
        <f t="shared" si="9"/>
        <v>21.250777835968822</v>
      </c>
      <c r="V81" s="222">
        <f t="shared" si="9"/>
        <v>21.250777835968822</v>
      </c>
      <c r="W81" s="222">
        <f t="shared" si="9"/>
        <v>21.250777835968822</v>
      </c>
      <c r="X81" s="222">
        <f t="shared" si="9"/>
        <v>21.250777835968822</v>
      </c>
      <c r="Y81" s="222">
        <f t="shared" si="9"/>
        <v>21.250777835968822</v>
      </c>
      <c r="Z81" s="222">
        <f t="shared" si="9"/>
        <v>36.251326896652692</v>
      </c>
      <c r="AA81" s="222">
        <f t="shared" si="9"/>
        <v>36.251326896652692</v>
      </c>
      <c r="AB81" s="222">
        <f t="shared" si="9"/>
        <v>36.251326896652692</v>
      </c>
      <c r="AC81" s="222">
        <f t="shared" si="9"/>
        <v>36.251326896652692</v>
      </c>
      <c r="AD81" s="222">
        <f t="shared" si="9"/>
        <v>37.301365330900566</v>
      </c>
      <c r="AE81" s="222">
        <f t="shared" si="9"/>
        <v>37.301365330900566</v>
      </c>
      <c r="AF81" s="222">
        <f t="shared" si="9"/>
        <v>37.301365330900566</v>
      </c>
      <c r="AG81" s="222">
        <f t="shared" si="9"/>
        <v>37.301365330900566</v>
      </c>
      <c r="AH81" s="222">
        <f t="shared" si="9"/>
        <v>634.22321428571399</v>
      </c>
      <c r="AI81">
        <f t="shared" si="9"/>
        <v>0</v>
      </c>
    </row>
    <row r="82" spans="2:35">
      <c r="B82" s="23" t="s">
        <v>635</v>
      </c>
      <c r="J82" s="222">
        <f>SUM(J79:J81)</f>
        <v>25.500933403162588</v>
      </c>
      <c r="K82" s="222">
        <f t="shared" ref="K82:AG82" si="10">SUM(K79:K81)</f>
        <v>25.500933403162588</v>
      </c>
      <c r="L82" s="222">
        <f t="shared" si="10"/>
        <v>25.500933403162588</v>
      </c>
      <c r="M82" s="222">
        <f t="shared" si="10"/>
        <v>25.500933403162588</v>
      </c>
      <c r="N82" s="222">
        <f t="shared" si="10"/>
        <v>25.500933403162588</v>
      </c>
      <c r="O82" s="222">
        <f t="shared" si="10"/>
        <v>25.500933403162588</v>
      </c>
      <c r="P82" s="222">
        <f t="shared" si="10"/>
        <v>25.500933403162588</v>
      </c>
      <c r="Q82" s="222">
        <f t="shared" si="10"/>
        <v>25.500933403162588</v>
      </c>
      <c r="R82" s="222">
        <f t="shared" si="10"/>
        <v>25.500933403162588</v>
      </c>
      <c r="S82" s="222">
        <f t="shared" si="10"/>
        <v>25.500933403162588</v>
      </c>
      <c r="T82" s="222">
        <f t="shared" si="10"/>
        <v>25.500933403162588</v>
      </c>
      <c r="U82" s="222">
        <f t="shared" si="10"/>
        <v>25.500933403162588</v>
      </c>
      <c r="V82" s="222">
        <f t="shared" si="10"/>
        <v>25.500933403162588</v>
      </c>
      <c r="W82" s="222">
        <f t="shared" si="10"/>
        <v>25.500933403162588</v>
      </c>
      <c r="X82" s="222">
        <f t="shared" si="10"/>
        <v>25.500933403162588</v>
      </c>
      <c r="Y82" s="222">
        <f t="shared" si="10"/>
        <v>25.500933403162588</v>
      </c>
      <c r="Z82" s="222">
        <f t="shared" si="10"/>
        <v>43.501592275983228</v>
      </c>
      <c r="AA82" s="222">
        <f t="shared" si="10"/>
        <v>43.501592275983228</v>
      </c>
      <c r="AB82" s="222">
        <f t="shared" si="10"/>
        <v>43.501592275983228</v>
      </c>
      <c r="AC82" s="222">
        <f t="shared" si="10"/>
        <v>43.501592275983228</v>
      </c>
      <c r="AD82" s="222">
        <f t="shared" si="10"/>
        <v>44.761638397080681</v>
      </c>
      <c r="AE82" s="222">
        <f t="shared" si="10"/>
        <v>44.761638397080681</v>
      </c>
      <c r="AF82" s="222">
        <f t="shared" si="10"/>
        <v>44.761638397080681</v>
      </c>
      <c r="AG82" s="222">
        <f t="shared" si="10"/>
        <v>44.761638397080681</v>
      </c>
      <c r="AH82" s="222">
        <f t="shared" ref="AH82" si="11">SUM(J82:AG82)</f>
        <v>761.06785714285706</v>
      </c>
      <c r="AI82" s="16"/>
    </row>
    <row r="83" spans="2:35" ht="15.75" thickBot="1">
      <c r="AH83" s="124"/>
    </row>
    <row r="84" spans="2:35">
      <c r="E84" s="256" t="s">
        <v>12</v>
      </c>
      <c r="F84" s="257" t="s">
        <v>13</v>
      </c>
      <c r="G84" s="257" t="str">
        <f>CONCATENATE(E84,F84)</f>
        <v>MGTManpower</v>
      </c>
      <c r="H84" s="257"/>
      <c r="I84" s="274"/>
      <c r="J84" s="268">
        <f>SUMIF($G$14:$G$79,$G84,J$14:J$79)</f>
        <v>0.84006284633058514</v>
      </c>
      <c r="K84" s="258">
        <f t="shared" ref="K84:AH88" si="12">SUMIF($G$14:$G$79,$G84,K$14:K$79)</f>
        <v>0.84006284633058514</v>
      </c>
      <c r="L84" s="258">
        <f t="shared" si="12"/>
        <v>0.84006284633058514</v>
      </c>
      <c r="M84" s="258">
        <f t="shared" si="12"/>
        <v>0.84006284633058514</v>
      </c>
      <c r="N84" s="258">
        <f t="shared" si="12"/>
        <v>0.84006284633058514</v>
      </c>
      <c r="O84" s="258">
        <f t="shared" si="12"/>
        <v>0.84006284633058514</v>
      </c>
      <c r="P84" s="258">
        <f t="shared" si="12"/>
        <v>0.84006284633058514</v>
      </c>
      <c r="Q84" s="258">
        <f t="shared" si="12"/>
        <v>0.84006284633058514</v>
      </c>
      <c r="R84" s="258">
        <f t="shared" si="12"/>
        <v>0.84006284633058514</v>
      </c>
      <c r="S84" s="258">
        <f t="shared" si="12"/>
        <v>0.84006284633058514</v>
      </c>
      <c r="T84" s="258">
        <f t="shared" si="12"/>
        <v>0.84006284633058514</v>
      </c>
      <c r="U84" s="258">
        <f t="shared" si="12"/>
        <v>0.84006284633058514</v>
      </c>
      <c r="V84" s="258">
        <f t="shared" si="12"/>
        <v>0.84006284633058514</v>
      </c>
      <c r="W84" s="258">
        <f t="shared" si="12"/>
        <v>0.84006284633058514</v>
      </c>
      <c r="X84" s="258">
        <f t="shared" si="12"/>
        <v>0.84006284633058514</v>
      </c>
      <c r="Y84" s="258">
        <f t="shared" si="12"/>
        <v>0.84006284633058514</v>
      </c>
      <c r="Z84" s="258">
        <f t="shared" si="12"/>
        <v>1.4330483849168802</v>
      </c>
      <c r="AA84" s="258">
        <f t="shared" si="12"/>
        <v>1.4330483849168802</v>
      </c>
      <c r="AB84" s="258">
        <f t="shared" si="12"/>
        <v>1.4330483849168802</v>
      </c>
      <c r="AC84" s="258">
        <f t="shared" si="12"/>
        <v>1.4330483849168802</v>
      </c>
      <c r="AD84" s="258">
        <f t="shared" si="12"/>
        <v>1.4745573726179209</v>
      </c>
      <c r="AE84" s="258">
        <f t="shared" si="12"/>
        <v>1.4745573726179209</v>
      </c>
      <c r="AF84" s="258">
        <f t="shared" si="12"/>
        <v>1.4745573726179209</v>
      </c>
      <c r="AG84" s="259">
        <f t="shared" si="12"/>
        <v>1.4745573726179209</v>
      </c>
      <c r="AH84" s="271">
        <f t="shared" si="12"/>
        <v>25.071428571428562</v>
      </c>
    </row>
    <row r="85" spans="2:35">
      <c r="E85" s="260" t="s">
        <v>14</v>
      </c>
      <c r="F85" s="36" t="s">
        <v>13</v>
      </c>
      <c r="G85" s="36" t="str">
        <f>CONCATENATE(E85,F85)</f>
        <v>MISSIONManpower</v>
      </c>
      <c r="I85" s="275"/>
      <c r="J85" s="269">
        <f t="shared" ref="J85:Y88" si="13">SUMIF($G$14:$G$79,$G85,J$14:J$79)</f>
        <v>0</v>
      </c>
      <c r="K85" s="261">
        <f t="shared" si="13"/>
        <v>0</v>
      </c>
      <c r="L85" s="261">
        <f t="shared" si="13"/>
        <v>0</v>
      </c>
      <c r="M85" s="261">
        <f t="shared" si="13"/>
        <v>0</v>
      </c>
      <c r="N85" s="261">
        <f t="shared" si="13"/>
        <v>0</v>
      </c>
      <c r="O85" s="261">
        <f t="shared" si="13"/>
        <v>0</v>
      </c>
      <c r="P85" s="261">
        <f t="shared" si="13"/>
        <v>0</v>
      </c>
      <c r="Q85" s="261">
        <f t="shared" si="13"/>
        <v>0</v>
      </c>
      <c r="R85" s="261">
        <f t="shared" si="13"/>
        <v>0</v>
      </c>
      <c r="S85" s="261">
        <f t="shared" si="13"/>
        <v>0</v>
      </c>
      <c r="T85" s="261">
        <f t="shared" si="13"/>
        <v>0</v>
      </c>
      <c r="U85" s="261">
        <f t="shared" si="13"/>
        <v>0</v>
      </c>
      <c r="V85" s="261">
        <f t="shared" si="13"/>
        <v>0</v>
      </c>
      <c r="W85" s="261">
        <f t="shared" si="13"/>
        <v>0</v>
      </c>
      <c r="X85" s="261">
        <f t="shared" si="13"/>
        <v>0</v>
      </c>
      <c r="Y85" s="261">
        <f t="shared" si="13"/>
        <v>0</v>
      </c>
      <c r="Z85" s="261">
        <f t="shared" si="12"/>
        <v>0</v>
      </c>
      <c r="AA85" s="261">
        <f t="shared" si="12"/>
        <v>0</v>
      </c>
      <c r="AB85" s="261">
        <f t="shared" si="12"/>
        <v>0</v>
      </c>
      <c r="AC85" s="261">
        <f t="shared" si="12"/>
        <v>0</v>
      </c>
      <c r="AD85" s="261">
        <f t="shared" si="12"/>
        <v>0</v>
      </c>
      <c r="AE85" s="261">
        <f t="shared" si="12"/>
        <v>0</v>
      </c>
      <c r="AF85" s="261">
        <f t="shared" si="12"/>
        <v>0</v>
      </c>
      <c r="AG85" s="262">
        <f t="shared" si="12"/>
        <v>0</v>
      </c>
      <c r="AH85" s="272">
        <f t="shared" si="12"/>
        <v>0</v>
      </c>
    </row>
    <row r="86" spans="2:35" ht="15.75" thickBot="1">
      <c r="E86" s="263" t="s">
        <v>139</v>
      </c>
      <c r="F86" s="264" t="s">
        <v>13</v>
      </c>
      <c r="G86" s="264" t="str">
        <f>CONCATENATE(E86,F86)</f>
        <v>TECHManpower</v>
      </c>
      <c r="H86" s="264"/>
      <c r="I86" s="276"/>
      <c r="J86" s="270">
        <f t="shared" si="13"/>
        <v>20.410714989638237</v>
      </c>
      <c r="K86" s="266">
        <f t="shared" si="12"/>
        <v>20.410714989638237</v>
      </c>
      <c r="L86" s="266">
        <f t="shared" si="12"/>
        <v>20.410714989638237</v>
      </c>
      <c r="M86" s="266">
        <f t="shared" si="12"/>
        <v>20.410714989638237</v>
      </c>
      <c r="N86" s="266">
        <f t="shared" si="12"/>
        <v>20.410714989638237</v>
      </c>
      <c r="O86" s="266">
        <f t="shared" si="12"/>
        <v>20.410714989638237</v>
      </c>
      <c r="P86" s="266">
        <f t="shared" si="12"/>
        <v>20.410714989638237</v>
      </c>
      <c r="Q86" s="266">
        <f t="shared" si="12"/>
        <v>20.410714989638237</v>
      </c>
      <c r="R86" s="266">
        <f t="shared" si="12"/>
        <v>20.410714989638237</v>
      </c>
      <c r="S86" s="266">
        <f t="shared" si="12"/>
        <v>20.410714989638237</v>
      </c>
      <c r="T86" s="266">
        <f t="shared" si="12"/>
        <v>20.410714989638237</v>
      </c>
      <c r="U86" s="266">
        <f t="shared" si="12"/>
        <v>20.410714989638237</v>
      </c>
      <c r="V86" s="266">
        <f t="shared" si="12"/>
        <v>20.410714989638237</v>
      </c>
      <c r="W86" s="266">
        <f t="shared" si="12"/>
        <v>20.410714989638237</v>
      </c>
      <c r="X86" s="266">
        <f t="shared" si="12"/>
        <v>20.410714989638237</v>
      </c>
      <c r="Y86" s="266">
        <f t="shared" si="12"/>
        <v>20.410714989638237</v>
      </c>
      <c r="Z86" s="266">
        <f t="shared" si="12"/>
        <v>34.818278511735812</v>
      </c>
      <c r="AA86" s="266">
        <f t="shared" si="12"/>
        <v>34.818278511735812</v>
      </c>
      <c r="AB86" s="266">
        <f t="shared" si="12"/>
        <v>34.818278511735812</v>
      </c>
      <c r="AC86" s="266">
        <f t="shared" si="12"/>
        <v>34.818278511735812</v>
      </c>
      <c r="AD86" s="266">
        <f t="shared" si="12"/>
        <v>35.826807958282643</v>
      </c>
      <c r="AE86" s="266">
        <f t="shared" si="12"/>
        <v>35.826807958282643</v>
      </c>
      <c r="AF86" s="266">
        <f t="shared" si="12"/>
        <v>35.826807958282643</v>
      </c>
      <c r="AG86" s="267">
        <f t="shared" si="12"/>
        <v>35.826807958282643</v>
      </c>
      <c r="AH86" s="273">
        <f t="shared" si="12"/>
        <v>609.15178571428544</v>
      </c>
    </row>
    <row r="87" spans="2:35">
      <c r="E87" s="260" t="s">
        <v>14</v>
      </c>
      <c r="F87" s="37" t="s">
        <v>117</v>
      </c>
      <c r="G87" s="36" t="str">
        <f>CONCATENATE(E87,F87)</f>
        <v>MISSIONProcurement</v>
      </c>
      <c r="H87" s="37"/>
      <c r="J87" s="269">
        <f t="shared" si="13"/>
        <v>0</v>
      </c>
      <c r="K87" s="261">
        <f t="shared" si="12"/>
        <v>0</v>
      </c>
      <c r="L87" s="261">
        <f t="shared" si="12"/>
        <v>0</v>
      </c>
      <c r="M87" s="261">
        <f t="shared" si="12"/>
        <v>0</v>
      </c>
      <c r="N87" s="261">
        <f t="shared" si="12"/>
        <v>0</v>
      </c>
      <c r="O87" s="261">
        <f t="shared" si="12"/>
        <v>0</v>
      </c>
      <c r="P87" s="261">
        <f t="shared" si="12"/>
        <v>0</v>
      </c>
      <c r="Q87" s="261">
        <f t="shared" si="12"/>
        <v>0</v>
      </c>
      <c r="R87" s="261">
        <f t="shared" si="12"/>
        <v>0</v>
      </c>
      <c r="S87" s="261">
        <f t="shared" si="12"/>
        <v>0</v>
      </c>
      <c r="T87" s="261">
        <f t="shared" si="12"/>
        <v>0</v>
      </c>
      <c r="U87" s="261">
        <f t="shared" si="12"/>
        <v>0</v>
      </c>
      <c r="V87" s="261">
        <f t="shared" si="12"/>
        <v>0</v>
      </c>
      <c r="W87" s="261">
        <f t="shared" si="12"/>
        <v>0</v>
      </c>
      <c r="X87" s="261">
        <f t="shared" si="12"/>
        <v>0</v>
      </c>
      <c r="Y87" s="261">
        <f t="shared" si="12"/>
        <v>0</v>
      </c>
      <c r="Z87" s="261">
        <f t="shared" si="12"/>
        <v>0</v>
      </c>
      <c r="AA87" s="261">
        <f t="shared" si="12"/>
        <v>0</v>
      </c>
      <c r="AB87" s="261">
        <f t="shared" si="12"/>
        <v>0</v>
      </c>
      <c r="AC87" s="261">
        <f t="shared" si="12"/>
        <v>0</v>
      </c>
      <c r="AD87" s="261">
        <f t="shared" si="12"/>
        <v>0</v>
      </c>
      <c r="AE87" s="261">
        <f t="shared" si="12"/>
        <v>0</v>
      </c>
      <c r="AF87" s="261">
        <f t="shared" si="12"/>
        <v>0</v>
      </c>
      <c r="AG87" s="262">
        <f t="shared" si="12"/>
        <v>0</v>
      </c>
      <c r="AH87" s="262">
        <f t="shared" si="12"/>
        <v>0</v>
      </c>
    </row>
    <row r="88" spans="2:35" ht="15.75" thickBot="1">
      <c r="E88" s="263" t="s">
        <v>139</v>
      </c>
      <c r="F88" s="264" t="s">
        <v>117</v>
      </c>
      <c r="G88" s="264" t="str">
        <f>CONCATENATE(E88,F88)</f>
        <v>TECHProcurement</v>
      </c>
      <c r="H88" s="264"/>
      <c r="I88" s="265"/>
      <c r="J88" s="270">
        <f t="shared" si="13"/>
        <v>0</v>
      </c>
      <c r="K88" s="266">
        <f t="shared" si="12"/>
        <v>0</v>
      </c>
      <c r="L88" s="266">
        <f t="shared" si="12"/>
        <v>0</v>
      </c>
      <c r="M88" s="266">
        <f t="shared" si="12"/>
        <v>0</v>
      </c>
      <c r="N88" s="266">
        <f t="shared" si="12"/>
        <v>0</v>
      </c>
      <c r="O88" s="266">
        <f t="shared" si="12"/>
        <v>0</v>
      </c>
      <c r="P88" s="266">
        <f t="shared" si="12"/>
        <v>0</v>
      </c>
      <c r="Q88" s="266">
        <f t="shared" si="12"/>
        <v>0</v>
      </c>
      <c r="R88" s="266">
        <f t="shared" si="12"/>
        <v>0</v>
      </c>
      <c r="S88" s="266">
        <f t="shared" si="12"/>
        <v>0</v>
      </c>
      <c r="T88" s="266">
        <f t="shared" si="12"/>
        <v>0</v>
      </c>
      <c r="U88" s="266">
        <f t="shared" si="12"/>
        <v>0</v>
      </c>
      <c r="V88" s="266">
        <f t="shared" si="12"/>
        <v>0</v>
      </c>
      <c r="W88" s="266">
        <f t="shared" si="12"/>
        <v>0</v>
      </c>
      <c r="X88" s="266">
        <f t="shared" si="12"/>
        <v>0</v>
      </c>
      <c r="Y88" s="266">
        <f t="shared" si="12"/>
        <v>0</v>
      </c>
      <c r="Z88" s="266">
        <f t="shared" si="12"/>
        <v>0</v>
      </c>
      <c r="AA88" s="266">
        <f t="shared" si="12"/>
        <v>0</v>
      </c>
      <c r="AB88" s="266">
        <f t="shared" si="12"/>
        <v>0</v>
      </c>
      <c r="AC88" s="266">
        <f t="shared" si="12"/>
        <v>0</v>
      </c>
      <c r="AD88" s="266">
        <f t="shared" si="12"/>
        <v>0</v>
      </c>
      <c r="AE88" s="266">
        <f t="shared" si="12"/>
        <v>0</v>
      </c>
      <c r="AF88" s="266">
        <f t="shared" si="12"/>
        <v>0</v>
      </c>
      <c r="AG88" s="267">
        <f t="shared" si="12"/>
        <v>0</v>
      </c>
      <c r="AH88" s="267">
        <f t="shared" si="12"/>
        <v>0</v>
      </c>
    </row>
    <row r="89" spans="2:35">
      <c r="AH89" s="124"/>
    </row>
    <row r="90" spans="2:35">
      <c r="J90" s="124">
        <f t="shared" ref="J90:AH90" si="14">SUM(J84:J88)</f>
        <v>21.250777835968822</v>
      </c>
      <c r="K90" s="124">
        <f t="shared" si="14"/>
        <v>21.250777835968822</v>
      </c>
      <c r="L90" s="124">
        <f t="shared" si="14"/>
        <v>21.250777835968822</v>
      </c>
      <c r="M90" s="124">
        <f t="shared" si="14"/>
        <v>21.250777835968822</v>
      </c>
      <c r="N90" s="124">
        <f t="shared" si="14"/>
        <v>21.250777835968822</v>
      </c>
      <c r="O90" s="124">
        <f t="shared" si="14"/>
        <v>21.250777835968822</v>
      </c>
      <c r="P90" s="124">
        <f t="shared" si="14"/>
        <v>21.250777835968822</v>
      </c>
      <c r="Q90" s="124">
        <f t="shared" si="14"/>
        <v>21.250777835968822</v>
      </c>
      <c r="R90" s="124">
        <f t="shared" si="14"/>
        <v>21.250777835968822</v>
      </c>
      <c r="S90" s="124">
        <f t="shared" si="14"/>
        <v>21.250777835968822</v>
      </c>
      <c r="T90" s="124">
        <f t="shared" si="14"/>
        <v>21.250777835968822</v>
      </c>
      <c r="U90" s="124">
        <f t="shared" si="14"/>
        <v>21.250777835968822</v>
      </c>
      <c r="V90" s="124">
        <f t="shared" si="14"/>
        <v>21.250777835968822</v>
      </c>
      <c r="W90" s="124">
        <f t="shared" si="14"/>
        <v>21.250777835968822</v>
      </c>
      <c r="X90" s="124">
        <f t="shared" si="14"/>
        <v>21.250777835968822</v>
      </c>
      <c r="Y90" s="124">
        <f t="shared" si="14"/>
        <v>21.250777835968822</v>
      </c>
      <c r="Z90" s="124">
        <f t="shared" si="14"/>
        <v>36.251326896652692</v>
      </c>
      <c r="AA90" s="124">
        <f t="shared" si="14"/>
        <v>36.251326896652692</v>
      </c>
      <c r="AB90" s="124">
        <f t="shared" si="14"/>
        <v>36.251326896652692</v>
      </c>
      <c r="AC90" s="124">
        <f t="shared" si="14"/>
        <v>36.251326896652692</v>
      </c>
      <c r="AD90" s="124">
        <f t="shared" si="14"/>
        <v>37.301365330900566</v>
      </c>
      <c r="AE90" s="124">
        <f t="shared" si="14"/>
        <v>37.301365330900566</v>
      </c>
      <c r="AF90" s="124">
        <f t="shared" si="14"/>
        <v>37.301365330900566</v>
      </c>
      <c r="AG90" s="124">
        <f t="shared" si="14"/>
        <v>37.301365330900566</v>
      </c>
      <c r="AH90" s="124">
        <f t="shared" si="14"/>
        <v>634.22321428571399</v>
      </c>
    </row>
  </sheetData>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73f24c3-df46-43f5-984c-841f7709e2a5" xsi:nil="true"/>
    <lcf76f155ced4ddcb4097134ff3c332f xmlns="09abfea7-990b-4582-b815-14b066e3349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FEAE830C5ADCF408CE11EAA7760643B" ma:contentTypeVersion="17" ma:contentTypeDescription="Create a new document." ma:contentTypeScope="" ma:versionID="879c01a0d0d0486120d30ba9d0156b94">
  <xsd:schema xmlns:xsd="http://www.w3.org/2001/XMLSchema" xmlns:xs="http://www.w3.org/2001/XMLSchema" xmlns:p="http://schemas.microsoft.com/office/2006/metadata/properties" xmlns:ns2="09abfea7-990b-4582-b815-14b066e3349e" xmlns:ns3="f73f24c3-df46-43f5-984c-841f7709e2a5" targetNamespace="http://schemas.microsoft.com/office/2006/metadata/properties" ma:root="true" ma:fieldsID="3b9e2b606b01963dca958e024150f07a" ns2:_="" ns3:_="">
    <xsd:import namespace="09abfea7-990b-4582-b815-14b066e3349e"/>
    <xsd:import namespace="f73f24c3-df46-43f5-984c-841f7709e2a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abfea7-990b-4582-b815-14b066e33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05eeb6c-d4a5-413d-a361-d60e2921958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3f24c3-df46-43f5-984c-841f7709e2a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8b12623-0906-4664-9770-2008614c3bcb}" ma:internalName="TaxCatchAll" ma:showField="CatchAllData" ma:web="f73f24c3-df46-43f5-984c-841f7709e2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55B4E9-45AC-489F-8548-ED98664FCC35}">
  <ds:schemaRefs>
    <ds:schemaRef ds:uri="http://schemas.microsoft.com/sharepoint/v3/contenttype/forms"/>
  </ds:schemaRefs>
</ds:datastoreItem>
</file>

<file path=customXml/itemProps2.xml><?xml version="1.0" encoding="utf-8"?>
<ds:datastoreItem xmlns:ds="http://schemas.openxmlformats.org/officeDocument/2006/customXml" ds:itemID="{15184706-2BEB-4044-B44F-65496C51094C}">
  <ds:schemaRefs>
    <ds:schemaRef ds:uri="http://schemas.microsoft.com/office/2006/metadata/properties"/>
    <ds:schemaRef ds:uri="http://schemas.microsoft.com/office/infopath/2007/PartnerControls"/>
    <ds:schemaRef ds:uri="f73f24c3-df46-43f5-984c-841f7709e2a5"/>
    <ds:schemaRef ds:uri="09abfea7-990b-4582-b815-14b066e3349e"/>
  </ds:schemaRefs>
</ds:datastoreItem>
</file>

<file path=customXml/itemProps3.xml><?xml version="1.0" encoding="utf-8"?>
<ds:datastoreItem xmlns:ds="http://schemas.openxmlformats.org/officeDocument/2006/customXml" ds:itemID="{7CA8739C-1222-4487-921E-33072127E5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abfea7-990b-4582-b815-14b066e3349e"/>
    <ds:schemaRef ds:uri="f73f24c3-df46-43f5-984c-841f7709e2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PVT WBS</vt:lpstr>
      <vt:lpstr>VESPUP WBS v1-8</vt:lpstr>
      <vt:lpstr>LEO Link Assumptions</vt:lpstr>
      <vt:lpstr>LEO Link Budget </vt:lpstr>
      <vt:lpstr>Deep Space Link Budget</vt:lpstr>
      <vt:lpstr>Price Table 8 CS</vt:lpstr>
      <vt:lpstr>Price Table 8 Airbus</vt:lpstr>
      <vt:lpstr>Airbus</vt:lpstr>
      <vt:lpstr>Price Table 8 AIUB</vt:lpstr>
      <vt:lpstr>AIUB</vt:lpstr>
      <vt:lpstr>Price Table 8 APCO</vt:lpstr>
      <vt:lpstr>APCO NEW</vt:lpstr>
      <vt:lpstr>APCO OLD</vt:lpstr>
      <vt:lpstr>Price Table 8 EPFL</vt:lpstr>
      <vt:lpstr>EPFL</vt:lpstr>
      <vt:lpstr>Price Table 8 OHB</vt:lpstr>
      <vt:lpstr>NEW Price Table 8 v2-1</vt:lpstr>
      <vt:lpstr>OHB NEW</vt:lpstr>
      <vt:lpstr>OHB OLD</vt:lpstr>
      <vt:lpstr>Price Table 8 RUAG</vt:lpstr>
      <vt:lpstr>RUAG</vt:lpstr>
      <vt:lpstr>Price Table 8 Syderal</vt:lpstr>
      <vt:lpstr>Syderal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Brigitte Allegra</dc:creator>
  <cp:keywords/>
  <dc:description/>
  <cp:lastModifiedBy>Hannes Bartle</cp:lastModifiedBy>
  <cp:revision/>
  <dcterms:created xsi:type="dcterms:W3CDTF">2019-07-22T13:33:58Z</dcterms:created>
  <dcterms:modified xsi:type="dcterms:W3CDTF">2024-11-04T16:01:15Z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0x010100DFEAE830C5ADCF408CE11EAA7760643B</vt:lpwstr>
  </property>
  <property fmtid="{D5CDD505-2E9C-101B-9397-08002B2CF9AE}" pid="3" name="Order">
    <vt:r8>1512500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MediaServiceImageTags">
    <vt:lpwstr/>
  </property>
</Properties>
</file>