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ludovicblanc/switchdrive/EPFL/PHD/Teaching/2024/Fundamentals of VLSI Design/logical_effort exercise/"/>
    </mc:Choice>
  </mc:AlternateContent>
  <xr:revisionPtr revIDLastSave="0" documentId="13_ncr:1_{2D14CC48-845F-1647-8C7F-8C3403B83337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1-&gt;2, all" sheetId="1" r:id="rId1"/>
    <sheet name="1-&gt;2, first" sheetId="6" r:id="rId2"/>
    <sheet name="1-&gt;2,all_with cap" sheetId="7" r:id="rId3"/>
    <sheet name="2-&gt;4, all" sheetId="8" r:id="rId4"/>
    <sheet name="2-&gt;4, first" sheetId="9" r:id="rId5"/>
    <sheet name="2-&gt;4, all_with cap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6" l="1"/>
  <c r="C16" i="11" l="1"/>
  <c r="L10" i="11"/>
  <c r="K10" i="11"/>
  <c r="J10" i="11"/>
  <c r="I10" i="11"/>
  <c r="H10" i="11"/>
  <c r="G10" i="11"/>
  <c r="F10" i="11"/>
  <c r="E10" i="11"/>
  <c r="D10" i="11"/>
  <c r="C10" i="11"/>
  <c r="L10" i="9"/>
  <c r="K10" i="9"/>
  <c r="J10" i="9"/>
  <c r="I10" i="9"/>
  <c r="H10" i="9"/>
  <c r="G10" i="9"/>
  <c r="F10" i="9"/>
  <c r="E10" i="9"/>
  <c r="D10" i="9"/>
  <c r="C10" i="9"/>
  <c r="L10" i="8"/>
  <c r="K10" i="8"/>
  <c r="J10" i="8"/>
  <c r="I10" i="8"/>
  <c r="H10" i="8"/>
  <c r="G10" i="8"/>
  <c r="F10" i="8"/>
  <c r="E10" i="8"/>
  <c r="D10" i="8"/>
  <c r="C10" i="8"/>
  <c r="L10" i="7"/>
  <c r="K10" i="7"/>
  <c r="J10" i="7"/>
  <c r="I10" i="7"/>
  <c r="H10" i="7"/>
  <c r="G10" i="7"/>
  <c r="F10" i="7"/>
  <c r="E10" i="7"/>
  <c r="D10" i="7"/>
  <c r="C10" i="7"/>
  <c r="L10" i="6"/>
  <c r="K10" i="6"/>
  <c r="J10" i="6"/>
  <c r="I10" i="6"/>
  <c r="H10" i="6"/>
  <c r="G10" i="6"/>
  <c r="F10" i="6"/>
  <c r="E10" i="6"/>
  <c r="D10" i="6"/>
  <c r="C10" i="6"/>
  <c r="D10" i="1"/>
  <c r="E10" i="1"/>
  <c r="F10" i="1"/>
  <c r="G10" i="1"/>
  <c r="H10" i="1"/>
  <c r="I10" i="1"/>
  <c r="J10" i="1"/>
  <c r="K10" i="1"/>
  <c r="L10" i="1"/>
  <c r="C10" i="1"/>
  <c r="C24" i="7" l="1"/>
  <c r="C24" i="6"/>
  <c r="F16" i="6"/>
  <c r="C37" i="11"/>
  <c r="D36" i="11"/>
  <c r="E36" i="11"/>
  <c r="F36" i="11"/>
  <c r="G36" i="11"/>
  <c r="G45" i="11" s="1"/>
  <c r="G47" i="11" s="1"/>
  <c r="I47" i="11" s="1"/>
  <c r="H36" i="11"/>
  <c r="I36" i="11"/>
  <c r="C36" i="11"/>
  <c r="G15" i="11"/>
  <c r="L9" i="11"/>
  <c r="C21" i="11"/>
  <c r="L14" i="11"/>
  <c r="K13" i="11"/>
  <c r="J13" i="11"/>
  <c r="I13" i="11"/>
  <c r="F13" i="11"/>
  <c r="D13" i="11"/>
  <c r="C25" i="11"/>
  <c r="L11" i="11"/>
  <c r="K11" i="11"/>
  <c r="J11" i="11"/>
  <c r="I11" i="11"/>
  <c r="H11" i="11"/>
  <c r="G11" i="11"/>
  <c r="F11" i="11"/>
  <c r="E11" i="11"/>
  <c r="D11" i="11"/>
  <c r="C11" i="11"/>
  <c r="D13" i="9"/>
  <c r="F38" i="9"/>
  <c r="C21" i="9"/>
  <c r="L14" i="9"/>
  <c r="K13" i="9"/>
  <c r="J13" i="9"/>
  <c r="I13" i="9"/>
  <c r="F13" i="9"/>
  <c r="F16" i="9" s="1"/>
  <c r="L11" i="9"/>
  <c r="K11" i="9"/>
  <c r="J11" i="9"/>
  <c r="I11" i="9"/>
  <c r="H11" i="9"/>
  <c r="G11" i="9"/>
  <c r="F11" i="9"/>
  <c r="E11" i="9"/>
  <c r="D11" i="9"/>
  <c r="C11" i="9"/>
  <c r="G45" i="8"/>
  <c r="G47" i="8" s="1"/>
  <c r="I47" i="8" s="1"/>
  <c r="L9" i="8" s="1"/>
  <c r="C23" i="8" s="1"/>
  <c r="C21" i="8"/>
  <c r="L14" i="8"/>
  <c r="K13" i="8"/>
  <c r="J13" i="8"/>
  <c r="I13" i="8"/>
  <c r="F13" i="8"/>
  <c r="D13" i="8"/>
  <c r="L11" i="8"/>
  <c r="K11" i="8"/>
  <c r="J11" i="8"/>
  <c r="I11" i="8"/>
  <c r="H11" i="8"/>
  <c r="G11" i="8"/>
  <c r="F11" i="8"/>
  <c r="E11" i="8"/>
  <c r="D11" i="8"/>
  <c r="C11" i="8"/>
  <c r="G15" i="7"/>
  <c r="L9" i="7"/>
  <c r="C23" i="7" s="1"/>
  <c r="C21" i="7"/>
  <c r="L14" i="7"/>
  <c r="K13" i="7"/>
  <c r="J13" i="7"/>
  <c r="I13" i="7"/>
  <c r="G13" i="7"/>
  <c r="F13" i="7"/>
  <c r="C25" i="7" s="1"/>
  <c r="E13" i="7"/>
  <c r="D13" i="7"/>
  <c r="C13" i="7"/>
  <c r="L11" i="7"/>
  <c r="K11" i="7"/>
  <c r="J11" i="7"/>
  <c r="I11" i="7"/>
  <c r="H11" i="7"/>
  <c r="G11" i="7"/>
  <c r="F11" i="7"/>
  <c r="E11" i="7"/>
  <c r="D11" i="7"/>
  <c r="C11" i="7"/>
  <c r="H38" i="6"/>
  <c r="F38" i="6"/>
  <c r="G45" i="1"/>
  <c r="G47" i="1" s="1"/>
  <c r="I47" i="1" s="1"/>
  <c r="C21" i="6"/>
  <c r="L14" i="6"/>
  <c r="K13" i="6"/>
  <c r="J13" i="6"/>
  <c r="I13" i="6"/>
  <c r="F13" i="6"/>
  <c r="E13" i="6"/>
  <c r="D13" i="6"/>
  <c r="C13" i="6"/>
  <c r="L11" i="6"/>
  <c r="K11" i="6"/>
  <c r="J11" i="6"/>
  <c r="I11" i="6"/>
  <c r="H11" i="6"/>
  <c r="G11" i="6"/>
  <c r="F11" i="6"/>
  <c r="E11" i="6"/>
  <c r="D11" i="6"/>
  <c r="C11" i="6"/>
  <c r="E16" i="6"/>
  <c r="D16" i="6"/>
  <c r="L14" i="1"/>
  <c r="C21" i="1"/>
  <c r="C11" i="1"/>
  <c r="D11" i="1"/>
  <c r="E11" i="1"/>
  <c r="F11" i="1"/>
  <c r="G11" i="1"/>
  <c r="H11" i="1"/>
  <c r="J11" i="1"/>
  <c r="K11" i="1"/>
  <c r="I11" i="1"/>
  <c r="L11" i="1"/>
  <c r="G13" i="1"/>
  <c r="C25" i="8" l="1"/>
  <c r="C23" i="11"/>
  <c r="C24" i="11"/>
  <c r="C22" i="11" s="1"/>
  <c r="C16" i="9"/>
  <c r="E16" i="9"/>
  <c r="C25" i="9"/>
  <c r="D16" i="9"/>
  <c r="C24" i="9"/>
  <c r="H38" i="9"/>
  <c r="D16" i="8"/>
  <c r="E16" i="8"/>
  <c r="I16" i="8"/>
  <c r="H16" i="8"/>
  <c r="K16" i="8"/>
  <c r="F16" i="8"/>
  <c r="C24" i="8"/>
  <c r="J16" i="8"/>
  <c r="C16" i="8"/>
  <c r="G16" i="8"/>
  <c r="C17" i="8" s="1"/>
  <c r="C22" i="7"/>
  <c r="D12" i="7" s="1"/>
  <c r="L9" i="1"/>
  <c r="C25" i="6"/>
  <c r="C16" i="6"/>
  <c r="G16" i="1"/>
  <c r="D13" i="1"/>
  <c r="E13" i="1"/>
  <c r="F13" i="1"/>
  <c r="F16" i="1" s="1"/>
  <c r="I13" i="1"/>
  <c r="J13" i="1"/>
  <c r="K13" i="1"/>
  <c r="C13" i="1"/>
  <c r="C16" i="1" s="1"/>
  <c r="H16" i="1"/>
  <c r="C26" i="7" l="1"/>
  <c r="C22" i="8"/>
  <c r="D12" i="8" s="1"/>
  <c r="E12" i="8" s="1"/>
  <c r="F12" i="8" s="1"/>
  <c r="G12" i="8" s="1"/>
  <c r="H12" i="8" s="1"/>
  <c r="C53" i="8" s="1"/>
  <c r="D12" i="11"/>
  <c r="E12" i="11" s="1"/>
  <c r="F12" i="11" s="1"/>
  <c r="G12" i="11" s="1"/>
  <c r="H12" i="11" s="1"/>
  <c r="C26" i="11"/>
  <c r="E12" i="7"/>
  <c r="F12" i="7" s="1"/>
  <c r="G12" i="7" s="1"/>
  <c r="H12" i="7" s="1"/>
  <c r="I12" i="7" s="1"/>
  <c r="I16" i="1"/>
  <c r="K16" i="1"/>
  <c r="E16" i="1"/>
  <c r="J16" i="1"/>
  <c r="D16" i="1"/>
  <c r="C23" i="1"/>
  <c r="C24" i="1"/>
  <c r="C25" i="1"/>
  <c r="C26" i="8" l="1"/>
  <c r="H14" i="11"/>
  <c r="H37" i="11" s="1"/>
  <c r="F37" i="9"/>
  <c r="F40" i="9" s="1"/>
  <c r="C53" i="11"/>
  <c r="I12" i="11"/>
  <c r="I12" i="8"/>
  <c r="D53" i="8" s="1"/>
  <c r="I14" i="11" s="1"/>
  <c r="I37" i="11" s="1"/>
  <c r="J12" i="7"/>
  <c r="C17" i="1"/>
  <c r="C22" i="1"/>
  <c r="C26" i="1" s="1"/>
  <c r="H40" i="9" l="1"/>
  <c r="L9" i="9" s="1"/>
  <c r="I16" i="11"/>
  <c r="H16" i="11"/>
  <c r="D53" i="11"/>
  <c r="J12" i="11"/>
  <c r="K12" i="11" s="1"/>
  <c r="J12" i="8"/>
  <c r="K12" i="7"/>
  <c r="D12" i="1"/>
  <c r="E12" i="1" s="1"/>
  <c r="F12" i="1" s="1"/>
  <c r="G12" i="1" s="1"/>
  <c r="H12" i="1" s="1"/>
  <c r="C53" i="1" s="1"/>
  <c r="F37" i="6" l="1"/>
  <c r="F40" i="6" s="1"/>
  <c r="L9" i="6" s="1"/>
  <c r="H14" i="7"/>
  <c r="H16" i="9"/>
  <c r="K16" i="9"/>
  <c r="J16" i="9"/>
  <c r="I16" i="9"/>
  <c r="C23" i="9"/>
  <c r="C22" i="9" s="1"/>
  <c r="D12" i="9" s="1"/>
  <c r="C43" i="9" s="1"/>
  <c r="D14" i="11" s="1"/>
  <c r="G16" i="9"/>
  <c r="C17" i="9" s="1"/>
  <c r="K12" i="8"/>
  <c r="I12" i="1"/>
  <c r="H16" i="6" l="1"/>
  <c r="J16" i="6"/>
  <c r="K16" i="6"/>
  <c r="I16" i="6"/>
  <c r="G16" i="6"/>
  <c r="C17" i="6" s="1"/>
  <c r="C23" i="6"/>
  <c r="C22" i="6" s="1"/>
  <c r="C26" i="9"/>
  <c r="D37" i="11"/>
  <c r="E12" i="9"/>
  <c r="J12" i="1"/>
  <c r="D53" i="1"/>
  <c r="I14" i="7" s="1"/>
  <c r="C26" i="6" l="1"/>
  <c r="D12" i="6"/>
  <c r="H16" i="7"/>
  <c r="D43" i="9"/>
  <c r="E14" i="11" s="1"/>
  <c r="F12" i="9"/>
  <c r="K12" i="1"/>
  <c r="E53" i="1"/>
  <c r="J14" i="7" s="1"/>
  <c r="J16" i="7" s="1"/>
  <c r="I16" i="7" l="1"/>
  <c r="E12" i="6"/>
  <c r="C43" i="6"/>
  <c r="D14" i="7" s="1"/>
  <c r="D16" i="11"/>
  <c r="E37" i="11"/>
  <c r="G12" i="9"/>
  <c r="E43" i="9"/>
  <c r="F14" i="11" s="1"/>
  <c r="C16" i="7" l="1"/>
  <c r="F12" i="6"/>
  <c r="D43" i="6"/>
  <c r="E14" i="7" s="1"/>
  <c r="E16" i="11"/>
  <c r="F37" i="11"/>
  <c r="F43" i="9"/>
  <c r="G14" i="11" s="1"/>
  <c r="H12" i="9"/>
  <c r="I12" i="9" s="1"/>
  <c r="J12" i="9" s="1"/>
  <c r="K12" i="9" s="1"/>
  <c r="G12" i="6" l="1"/>
  <c r="E43" i="6"/>
  <c r="F14" i="7" s="1"/>
  <c r="D16" i="7"/>
  <c r="G37" i="11"/>
  <c r="G16" i="11"/>
  <c r="F16" i="11"/>
  <c r="H12" i="6" l="1"/>
  <c r="I12" i="6" s="1"/>
  <c r="J12" i="6" s="1"/>
  <c r="K12" i="6" s="1"/>
  <c r="F43" i="6"/>
  <c r="G14" i="7" s="1"/>
  <c r="G16" i="7" s="1"/>
  <c r="E16" i="7"/>
  <c r="C17" i="11"/>
  <c r="C33" i="11" s="1"/>
  <c r="F16" i="7" l="1"/>
  <c r="C17" i="7" s="1"/>
  <c r="C33" i="7" s="1"/>
</calcChain>
</file>

<file path=xl/sharedStrings.xml><?xml version="1.0" encoding="utf-8"?>
<sst xmlns="http://schemas.openxmlformats.org/spreadsheetml/2006/main" count="294" uniqueCount="60">
  <si>
    <t>Calculate Logical Effort Delays/Sizing</t>
  </si>
  <si>
    <t>Stage</t>
  </si>
  <si>
    <t>GateType</t>
  </si>
  <si>
    <t>Gamma</t>
  </si>
  <si>
    <t>Multiplicity</t>
  </si>
  <si>
    <t>Beta</t>
  </si>
  <si>
    <t>g</t>
  </si>
  <si>
    <t>INV</t>
  </si>
  <si>
    <t>NAND</t>
  </si>
  <si>
    <t>NOR</t>
  </si>
  <si>
    <t>p</t>
  </si>
  <si>
    <t>LOAD</t>
  </si>
  <si>
    <t>N-STAGES</t>
  </si>
  <si>
    <t>f</t>
  </si>
  <si>
    <t>H</t>
  </si>
  <si>
    <t>G</t>
  </si>
  <si>
    <t>B</t>
  </si>
  <si>
    <t>NONE</t>
  </si>
  <si>
    <t>b</t>
  </si>
  <si>
    <t>Dmin</t>
  </si>
  <si>
    <t>GAMMA</t>
  </si>
  <si>
    <t>D(GAMMA)=</t>
  </si>
  <si>
    <t>Inv</t>
  </si>
  <si>
    <t xml:space="preserve">you have already precomputed in QUIZ 6 those values. </t>
  </si>
  <si>
    <t xml:space="preserve">R2 </t>
  </si>
  <si>
    <t>ohm</t>
  </si>
  <si>
    <t>C2</t>
  </si>
  <si>
    <t>fF</t>
  </si>
  <si>
    <t>R3</t>
  </si>
  <si>
    <t>C3</t>
  </si>
  <si>
    <t>C_o</t>
  </si>
  <si>
    <t>We give you that :</t>
  </si>
  <si>
    <t>I selected the value out of multiple project</t>
  </si>
  <si>
    <t xml:space="preserve">C3 = </t>
  </si>
  <si>
    <t>Co</t>
  </si>
  <si>
    <t>Cload3</t>
  </si>
  <si>
    <t>inverters</t>
  </si>
  <si>
    <t>now lets compute the C2 new capacitance</t>
  </si>
  <si>
    <t xml:space="preserve">C2 = </t>
  </si>
  <si>
    <t>C0</t>
  </si>
  <si>
    <t>1 --&gt; 2</t>
  </si>
  <si>
    <t>fanout 1-&gt;2</t>
  </si>
  <si>
    <t>C_in_Nor</t>
  </si>
  <si>
    <t xml:space="preserve">C_bitcells </t>
  </si>
  <si>
    <t>Additional cap [CINV]</t>
  </si>
  <si>
    <t>Legends</t>
  </si>
  <si>
    <t>Automatically Computed</t>
  </si>
  <si>
    <t>To be filled</t>
  </si>
  <si>
    <t>to Fix size and wire capacitance in Cinv</t>
  </si>
  <si>
    <t>Automatically Computed for fixed size</t>
  </si>
  <si>
    <t>Solution:</t>
  </si>
  <si>
    <t>gamma</t>
  </si>
  <si>
    <t>stage</t>
  </si>
  <si>
    <t>(2ß + 1)gamma</t>
  </si>
  <si>
    <t xml:space="preserve">DminGAMMA </t>
  </si>
  <si>
    <t>fanout 2-&gt;1</t>
  </si>
  <si>
    <t>C_in_NAND</t>
  </si>
  <si>
    <t>CLoad2</t>
  </si>
  <si>
    <t>SIZING:</t>
  </si>
  <si>
    <t>(ß + 2)gamma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</si>
</sst>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3" borderId="0" xfId="0" applyFill="1"/>
    <xf numFmtId="0" fontId="3" fillId="0" borderId="0" xfId="0" applyFont="1"/>
    <xf numFmtId="0" fontId="0" fillId="4" borderId="0" xfId="0" applyFill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2" borderId="5" xfId="0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textRotation="90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textRotation="90" wrapText="1"/>
    </xf>
    <xf numFmtId="0" fontId="1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0" fillId="5" borderId="5" xfId="0" applyFill="1" applyBorder="1"/>
    <xf numFmtId="0" fontId="0" fillId="4" borderId="5" xfId="0" applyFill="1" applyBorder="1"/>
    <xf numFmtId="0" fontId="0" fillId="3" borderId="5" xfId="0" applyFill="1" applyBorder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7" xfId="0" applyFont="1" applyBorder="1"/>
    <xf numFmtId="0" fontId="1" fillId="0" borderId="8" xfId="0" applyFont="1" applyBorder="1"/>
    <xf numFmtId="0" fontId="0" fillId="5" borderId="5" xfId="0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30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3"/>
  <sheetViews>
    <sheetView tabSelected="1" topLeftCell="A27" zoomScale="171" workbookViewId="0">
      <selection activeCell="I47" sqref="I47"/>
    </sheetView>
  </sheetViews>
  <sheetFormatPr baseColWidth="10" defaultColWidth="8.83203125" defaultRowHeight="15" x14ac:dyDescent="0.2"/>
  <cols>
    <col min="2" max="2" width="13.6640625" customWidth="1"/>
    <col min="4" max="4" width="12.33203125" customWidth="1"/>
    <col min="11" max="11" width="9" customWidth="1"/>
    <col min="12" max="12" width="9.1640625" style="2"/>
  </cols>
  <sheetData>
    <row r="2" spans="1:12" ht="19" x14ac:dyDescent="0.25">
      <c r="B2" s="1" t="s">
        <v>0</v>
      </c>
    </row>
    <row r="4" spans="1:12" x14ac:dyDescent="0.2">
      <c r="B4" s="19" t="s">
        <v>5</v>
      </c>
      <c r="C4" s="35">
        <v>2.5</v>
      </c>
    </row>
    <row r="6" spans="1:12" x14ac:dyDescent="0.2">
      <c r="B6" s="16" t="s">
        <v>1</v>
      </c>
      <c r="C6" s="39">
        <v>1</v>
      </c>
      <c r="D6" s="39">
        <v>2</v>
      </c>
      <c r="E6" s="39">
        <v>3</v>
      </c>
      <c r="F6" s="39">
        <v>4</v>
      </c>
      <c r="G6" s="39">
        <v>5</v>
      </c>
      <c r="H6" s="39">
        <v>6</v>
      </c>
      <c r="I6" s="39">
        <v>7</v>
      </c>
      <c r="J6" s="39">
        <v>8</v>
      </c>
      <c r="K6" s="39">
        <v>9</v>
      </c>
      <c r="L6" s="20" t="s">
        <v>11</v>
      </c>
    </row>
    <row r="7" spans="1:12" x14ac:dyDescent="0.2">
      <c r="B7" s="17"/>
    </row>
    <row r="8" spans="1:12" x14ac:dyDescent="0.2">
      <c r="B8" s="22" t="s">
        <v>2</v>
      </c>
      <c r="C8" s="15" t="s">
        <v>7</v>
      </c>
      <c r="D8" s="15" t="s">
        <v>7</v>
      </c>
      <c r="E8" s="15" t="s">
        <v>7</v>
      </c>
      <c r="F8" s="15" t="s">
        <v>7</v>
      </c>
      <c r="G8" s="15" t="s">
        <v>7</v>
      </c>
      <c r="H8" s="15" t="s">
        <v>9</v>
      </c>
      <c r="I8" s="15" t="s">
        <v>8</v>
      </c>
      <c r="J8" s="15" t="s">
        <v>9</v>
      </c>
      <c r="K8" s="15" t="s">
        <v>17</v>
      </c>
      <c r="L8" s="3" t="s">
        <v>7</v>
      </c>
    </row>
    <row r="9" spans="1:12" x14ac:dyDescent="0.2">
      <c r="B9" s="22" t="s">
        <v>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 s="38">
        <f>'1-&gt;2, all'!I47</f>
        <v>26.211738063785621</v>
      </c>
    </row>
    <row r="10" spans="1:12" ht="15" customHeight="1" x14ac:dyDescent="0.2">
      <c r="A10" s="21"/>
      <c r="B10" s="22" t="s">
        <v>6</v>
      </c>
      <c r="C10" s="4">
        <f>IF(C$8="INV", 1+$C$4,IF(C$8="NAND",2+$C$4,IF(C$8="NOR",1+2*$C$4,(1+$C$4))))/(1+$C$4)</f>
        <v>1</v>
      </c>
      <c r="D10" s="4">
        <f t="shared" ref="D10:L10" si="0">IF(D$8="INV", 1+$C$4,IF(D$8="NAND",2+$C$4,IF(D$8="NOR",1+2*$C$4,(1+$C$4))))/(1+$C$4)</f>
        <v>1</v>
      </c>
      <c r="E10" s="4">
        <f t="shared" si="0"/>
        <v>1</v>
      </c>
      <c r="F10" s="4">
        <f t="shared" si="0"/>
        <v>1</v>
      </c>
      <c r="G10" s="4">
        <f t="shared" si="0"/>
        <v>1</v>
      </c>
      <c r="H10" s="4">
        <f t="shared" si="0"/>
        <v>1.7142857142857142</v>
      </c>
      <c r="I10" s="4">
        <f t="shared" si="0"/>
        <v>1.2857142857142858</v>
      </c>
      <c r="J10" s="4">
        <f t="shared" si="0"/>
        <v>1.7142857142857142</v>
      </c>
      <c r="K10" s="4">
        <f t="shared" si="0"/>
        <v>1</v>
      </c>
      <c r="L10" s="4">
        <f t="shared" si="0"/>
        <v>1</v>
      </c>
    </row>
    <row r="11" spans="1:12" ht="16" thickBot="1" x14ac:dyDescent="0.25">
      <c r="A11" s="18"/>
      <c r="B11" s="22" t="s">
        <v>10</v>
      </c>
      <c r="C11" s="4">
        <f t="shared" ref="C11:H11" si="1">IF(C$8="INV", 1,IF(C$8="NAND",(2*$C$4+2)/(1+$C$4),IF(C$8="NOR",(2*$C$4+2)/(1+$C$4),0)))</f>
        <v>1</v>
      </c>
      <c r="D11" s="4">
        <f t="shared" si="1"/>
        <v>1</v>
      </c>
      <c r="E11" s="4">
        <f t="shared" si="1"/>
        <v>1</v>
      </c>
      <c r="F11" s="4">
        <f t="shared" si="1"/>
        <v>1</v>
      </c>
      <c r="G11" s="4">
        <f t="shared" si="1"/>
        <v>1</v>
      </c>
      <c r="H11" s="4">
        <f t="shared" si="1"/>
        <v>2</v>
      </c>
      <c r="I11" s="4">
        <f>IF(I$8="INV", 1,IF(I$8="NAND",(2*$C$4+2)/(1+$C$4),IF(I$8="NOR",(2*$C$4+2)/(1+$C$4),0)))</f>
        <v>2</v>
      </c>
      <c r="J11" s="4">
        <f t="shared" ref="J11:K11" si="2">IF(J$8="INV", 1,IF(J$8="NAND",(2*$C$4+2)/(1+$C$4),IF(J$8="NOR",(2*$C$4+2)/(1+$C$4),0)))</f>
        <v>2</v>
      </c>
      <c r="K11" s="4">
        <f t="shared" si="2"/>
        <v>0</v>
      </c>
      <c r="L11" s="2">
        <f>IF(L$8="INV", 1,IF(L$8="NAND",2,IF(L$8="NOR",1,0)))</f>
        <v>1</v>
      </c>
    </row>
    <row r="12" spans="1:12" ht="16" thickBot="1" x14ac:dyDescent="0.25">
      <c r="A12" s="18"/>
      <c r="B12" s="22" t="s">
        <v>3</v>
      </c>
      <c r="C12" s="36">
        <v>1</v>
      </c>
      <c r="D12" s="5">
        <f t="shared" ref="D12:K12" si="3">$C$22*C12/(C13*D10)</f>
        <v>3.2574449412514905</v>
      </c>
      <c r="E12" s="6">
        <f t="shared" si="3"/>
        <v>10.610947545284926</v>
      </c>
      <c r="F12" s="6">
        <f t="shared" si="3"/>
        <v>34.564577403273304</v>
      </c>
      <c r="G12" s="6">
        <f t="shared" si="3"/>
        <v>112.5922078087882</v>
      </c>
      <c r="H12" s="6">
        <f t="shared" si="3"/>
        <v>1.6714455887093203</v>
      </c>
      <c r="I12" s="6">
        <f t="shared" si="3"/>
        <v>4.2347215380697847</v>
      </c>
      <c r="J12" s="6">
        <f t="shared" si="3"/>
        <v>8.0467171468799226</v>
      </c>
      <c r="K12" s="7">
        <f t="shared" si="3"/>
        <v>26.211738063785631</v>
      </c>
      <c r="L12">
        <v>1</v>
      </c>
    </row>
    <row r="13" spans="1:12" ht="16" thickBot="1" x14ac:dyDescent="0.25">
      <c r="A13" s="18"/>
      <c r="B13" s="22" t="s">
        <v>18</v>
      </c>
      <c r="C13" s="37">
        <f>IF(C8="NONE",1,D9)</f>
        <v>1</v>
      </c>
      <c r="D13" s="37">
        <f t="shared" ref="D13:J13" si="4">IF(D8="NONE",1,E9)</f>
        <v>1</v>
      </c>
      <c r="E13" s="37">
        <f t="shared" si="4"/>
        <v>1</v>
      </c>
      <c r="F13" s="37">
        <f t="shared" si="4"/>
        <v>1</v>
      </c>
      <c r="G13" s="37">
        <f>128</f>
        <v>128</v>
      </c>
      <c r="H13" s="37">
        <v>1</v>
      </c>
      <c r="I13" s="37">
        <f t="shared" si="4"/>
        <v>1</v>
      </c>
      <c r="J13" s="37">
        <f t="shared" si="4"/>
        <v>1</v>
      </c>
      <c r="K13" s="37">
        <f>IF(K8="NONE",1,L9)</f>
        <v>1</v>
      </c>
    </row>
    <row r="14" spans="1:12" ht="16" thickBot="1" x14ac:dyDescent="0.25">
      <c r="A14" s="18"/>
      <c r="B14" s="22" t="s">
        <v>20</v>
      </c>
      <c r="C14" s="10">
        <v>1</v>
      </c>
      <c r="D14" s="11">
        <v>1</v>
      </c>
      <c r="E14" s="12">
        <v>1</v>
      </c>
      <c r="F14" s="12">
        <v>1</v>
      </c>
      <c r="G14" s="12">
        <v>1</v>
      </c>
      <c r="H14" s="12">
        <v>1</v>
      </c>
      <c r="I14" s="12">
        <v>1</v>
      </c>
      <c r="J14" s="12">
        <v>1</v>
      </c>
      <c r="K14" s="13"/>
      <c r="L14" s="4">
        <f>L12</f>
        <v>1</v>
      </c>
    </row>
    <row r="15" spans="1:12" x14ac:dyDescent="0.2">
      <c r="B15" s="22" t="s">
        <v>44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/>
    </row>
    <row r="16" spans="1:12" x14ac:dyDescent="0.2">
      <c r="B16" s="23"/>
      <c r="C16" s="8">
        <f t="shared" ref="C16" si="5">(IF(D8="NONE",$L10,D10)/C10)*(IF(D8="NONE",$L9*$L14*C10*C13+C15,D9*D14*C10*C13+C15)/C14)</f>
        <v>1</v>
      </c>
      <c r="D16" s="8">
        <f t="shared" ref="D16" si="6">(IF(E8="NONE",$L10,E10)/D10)*(IF(E8="NONE",$L9*$L14*D10*D13+D15,E9*E14*D10*D13+D15)/D14)</f>
        <v>1</v>
      </c>
      <c r="E16" s="8">
        <f t="shared" ref="E16" si="7">(IF(F8="NONE",$L10,F10)/E10)*(IF(F8="NONE",$L9*$L14*E10*E13+E15,F9*F14*E10*E13+E15)/E14)</f>
        <v>1</v>
      </c>
      <c r="F16" s="8">
        <f t="shared" ref="F16" si="8">(IF(G8="NONE",$L10,G10)/F10)*(IF(G8="NONE",$L9*$L14*F10*F13+F15,G9*G14*F10*F13+F15)/F14)</f>
        <v>1</v>
      </c>
      <c r="G16" s="8">
        <f>(IF(H8="NONE",$L10,H10)/G10)*(IF(H8="NONE",$L9*$L14*G10*G13+G15,H9*H14*G10*G13+G15)/G14)</f>
        <v>219.42857142857142</v>
      </c>
      <c r="H16" s="8">
        <f t="shared" ref="H16:K16" si="9">(IF(I8="NONE",$L10,I10)/H10)*(IF(I8="NONE",$L9*$L14*H10*H13+H15,I9*I14*H10*H13+H15)/H14)</f>
        <v>1.2857142857142858</v>
      </c>
      <c r="I16" s="8">
        <f t="shared" si="9"/>
        <v>1.7142857142857144</v>
      </c>
      <c r="J16" s="8">
        <f t="shared" si="9"/>
        <v>26.211738063785621</v>
      </c>
      <c r="K16" s="8" t="e">
        <f t="shared" si="9"/>
        <v>#DIV/0!</v>
      </c>
    </row>
    <row r="17" spans="2:10" x14ac:dyDescent="0.2">
      <c r="B17" s="22" t="s">
        <v>21</v>
      </c>
      <c r="C17" s="8">
        <f>SUM(C11:K11)+SUMIF(C8:K8,"&lt;&gt;NONE",C16:K16)</f>
        <v>263.64030949235701</v>
      </c>
    </row>
    <row r="20" spans="2:10" x14ac:dyDescent="0.2">
      <c r="E20" s="34" t="s">
        <v>45</v>
      </c>
      <c r="F20" s="33"/>
      <c r="G20" s="27"/>
      <c r="H20" s="27"/>
      <c r="I20" s="27"/>
      <c r="J20" s="28"/>
    </row>
    <row r="21" spans="2:10" x14ac:dyDescent="0.2">
      <c r="B21" s="19" t="s">
        <v>12</v>
      </c>
      <c r="C21" s="14">
        <f>COUNTIF(C8:K8,"&lt;&gt;NONE")</f>
        <v>8</v>
      </c>
      <c r="E21" s="2"/>
      <c r="J21" s="29"/>
    </row>
    <row r="22" spans="2:10" x14ac:dyDescent="0.2">
      <c r="B22" s="19" t="s">
        <v>13</v>
      </c>
      <c r="C22" s="14">
        <f>POWER(C23*C24*C25,1/C21)</f>
        <v>3.2574449412514905</v>
      </c>
      <c r="E22" s="2"/>
      <c r="F22" s="14"/>
      <c r="G22" t="s">
        <v>46</v>
      </c>
      <c r="J22" s="29"/>
    </row>
    <row r="23" spans="2:10" x14ac:dyDescent="0.2">
      <c r="B23" s="19" t="s">
        <v>14</v>
      </c>
      <c r="C23" s="14">
        <f>(L9*L10*L12)/(C10*C12)</f>
        <v>26.211738063785621</v>
      </c>
      <c r="E23" s="2"/>
      <c r="F23" s="24"/>
      <c r="G23" t="s">
        <v>47</v>
      </c>
      <c r="J23" s="29"/>
    </row>
    <row r="24" spans="2:10" x14ac:dyDescent="0.2">
      <c r="B24" s="19" t="s">
        <v>15</v>
      </c>
      <c r="C24" s="14">
        <f>PRODUCT(C10:K10)</f>
        <v>3.7784256559766765</v>
      </c>
      <c r="E24" s="2"/>
      <c r="F24" s="25"/>
      <c r="G24" t="s">
        <v>48</v>
      </c>
      <c r="J24" s="29"/>
    </row>
    <row r="25" spans="2:10" x14ac:dyDescent="0.2">
      <c r="B25" s="19" t="s">
        <v>16</v>
      </c>
      <c r="C25" s="14">
        <f>PRODUCT(C13:K13)</f>
        <v>128</v>
      </c>
      <c r="E25" s="2"/>
      <c r="F25" s="26"/>
      <c r="G25" t="s">
        <v>49</v>
      </c>
      <c r="J25" s="29"/>
    </row>
    <row r="26" spans="2:10" x14ac:dyDescent="0.2">
      <c r="B26" s="19" t="s">
        <v>19</v>
      </c>
      <c r="C26" s="14">
        <f>SUM(C11:K11)+C21*C22</f>
        <v>37.059559530011924</v>
      </c>
      <c r="E26" s="30"/>
      <c r="F26" s="31"/>
      <c r="G26" s="31"/>
      <c r="H26" s="31"/>
      <c r="I26" s="31"/>
      <c r="J26" s="32"/>
    </row>
    <row r="31" spans="2:10" x14ac:dyDescent="0.2">
      <c r="B31" t="s">
        <v>50</v>
      </c>
    </row>
    <row r="33" spans="2:10" x14ac:dyDescent="0.2">
      <c r="B33" t="s">
        <v>23</v>
      </c>
      <c r="F33" t="s">
        <v>24</v>
      </c>
      <c r="G33">
        <v>135</v>
      </c>
      <c r="H33" t="s">
        <v>25</v>
      </c>
    </row>
    <row r="34" spans="2:10" x14ac:dyDescent="0.2">
      <c r="F34" t="s">
        <v>26</v>
      </c>
      <c r="G34">
        <v>38</v>
      </c>
      <c r="H34" t="s">
        <v>27</v>
      </c>
    </row>
    <row r="35" spans="2:10" x14ac:dyDescent="0.2">
      <c r="F35" t="s">
        <v>28</v>
      </c>
      <c r="G35">
        <v>35</v>
      </c>
      <c r="H35" t="s">
        <v>25</v>
      </c>
    </row>
    <row r="36" spans="2:10" x14ac:dyDescent="0.2">
      <c r="F36" t="s">
        <v>29</v>
      </c>
      <c r="G36">
        <v>2.1</v>
      </c>
      <c r="H36" t="s">
        <v>27</v>
      </c>
    </row>
    <row r="41" spans="2:10" x14ac:dyDescent="0.2">
      <c r="B41" t="s">
        <v>31</v>
      </c>
      <c r="F41" t="s">
        <v>30</v>
      </c>
      <c r="G41">
        <v>7.5700000000000003E-2</v>
      </c>
      <c r="H41" t="s">
        <v>27</v>
      </c>
      <c r="I41" t="s">
        <v>32</v>
      </c>
    </row>
    <row r="43" spans="2:10" x14ac:dyDescent="0.2">
      <c r="F43" t="s">
        <v>43</v>
      </c>
      <c r="G43">
        <v>2</v>
      </c>
      <c r="H43" t="s">
        <v>34</v>
      </c>
    </row>
    <row r="45" spans="2:10" x14ac:dyDescent="0.2">
      <c r="F45" t="s">
        <v>33</v>
      </c>
      <c r="G45">
        <f>G36/G41</f>
        <v>27.741083223249671</v>
      </c>
      <c r="H45" t="s">
        <v>34</v>
      </c>
    </row>
    <row r="47" spans="2:10" x14ac:dyDescent="0.2">
      <c r="F47" t="s">
        <v>35</v>
      </c>
      <c r="G47">
        <f>G45+32*G43</f>
        <v>91.741083223249674</v>
      </c>
      <c r="H47" t="s">
        <v>34</v>
      </c>
      <c r="I47">
        <f>G47/(3.5)</f>
        <v>26.211738063785621</v>
      </c>
      <c r="J47" t="s">
        <v>36</v>
      </c>
    </row>
    <row r="52" spans="2:5" x14ac:dyDescent="0.2">
      <c r="B52" t="s">
        <v>52</v>
      </c>
      <c r="C52">
        <v>6</v>
      </c>
      <c r="D52">
        <v>7</v>
      </c>
      <c r="E52">
        <v>8</v>
      </c>
    </row>
    <row r="53" spans="2:5" x14ac:dyDescent="0.2">
      <c r="B53" t="s">
        <v>51</v>
      </c>
      <c r="C53">
        <f>ROUND(H12,0)</f>
        <v>2</v>
      </c>
      <c r="D53">
        <f>ROUND(I12,0)</f>
        <v>4</v>
      </c>
      <c r="E53">
        <f>ROUND(J12,0)</f>
        <v>8</v>
      </c>
    </row>
  </sheetData>
  <conditionalFormatting sqref="C8:K8">
    <cfRule type="containsText" dxfId="29" priority="2" operator="containsText" text="NONE">
      <formula>NOT(ISERROR(SEARCH("NONE",C8)))</formula>
    </cfRule>
    <cfRule type="cellIs" dxfId="28" priority="3" operator="equal">
      <formula>"""NONE"""</formula>
    </cfRule>
    <cfRule type="cellIs" dxfId="27" priority="4" operator="equal">
      <formula>"""NONE"""</formula>
    </cfRule>
  </conditionalFormatting>
  <conditionalFormatting sqref="D12">
    <cfRule type="containsText" dxfId="26" priority="5" operator="containsText" text="NONE">
      <formula>NOT(ISERROR(SEARCH("NONE",D12)))</formula>
    </cfRule>
  </conditionalFormatting>
  <conditionalFormatting sqref="D14">
    <cfRule type="containsText" dxfId="25" priority="1" operator="containsText" text="NONE">
      <formula>NOT(ISERROR(SEARCH("NONE",D14)))</formula>
    </cfRule>
  </conditionalFormatting>
  <dataValidations disablePrompts="1" count="1">
    <dataValidation type="list" allowBlank="1" showInputMessage="1" showErrorMessage="1" sqref="C8:L8" xr:uid="{2D811E14-E47F-439C-946C-A7C1F5A508A6}">
      <formula1>"INV,NAND,NOR,NONE"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71974-86C4-AD4C-B120-E871495A9E77}">
  <dimension ref="A2:L43"/>
  <sheetViews>
    <sheetView topLeftCell="A21" zoomScale="175" workbookViewId="0">
      <selection activeCell="H40" sqref="H40"/>
    </sheetView>
  </sheetViews>
  <sheetFormatPr baseColWidth="10" defaultColWidth="8.83203125" defaultRowHeight="15" x14ac:dyDescent="0.2"/>
  <cols>
    <col min="2" max="2" width="13.6640625" customWidth="1"/>
    <col min="4" max="4" width="12.33203125" customWidth="1"/>
    <col min="11" max="11" width="9" customWidth="1"/>
    <col min="12" max="12" width="8.83203125" style="2"/>
  </cols>
  <sheetData>
    <row r="2" spans="1:12" ht="19" x14ac:dyDescent="0.25">
      <c r="B2" s="1" t="s">
        <v>0</v>
      </c>
    </row>
    <row r="4" spans="1:12" x14ac:dyDescent="0.2">
      <c r="B4" s="19" t="s">
        <v>5</v>
      </c>
      <c r="C4" s="35">
        <v>2.5</v>
      </c>
    </row>
    <row r="6" spans="1:12" x14ac:dyDescent="0.2">
      <c r="B6" s="16" t="s">
        <v>1</v>
      </c>
      <c r="C6" s="39">
        <v>1</v>
      </c>
      <c r="D6" s="39">
        <v>2</v>
      </c>
      <c r="E6" s="39">
        <v>3</v>
      </c>
      <c r="F6" s="39">
        <v>4</v>
      </c>
      <c r="G6" s="39">
        <v>5</v>
      </c>
      <c r="H6" s="39">
        <v>6</v>
      </c>
      <c r="I6" s="39">
        <v>7</v>
      </c>
      <c r="J6" s="39">
        <v>8</v>
      </c>
      <c r="K6" s="39">
        <v>9</v>
      </c>
      <c r="L6" s="20" t="s">
        <v>11</v>
      </c>
    </row>
    <row r="7" spans="1:12" x14ac:dyDescent="0.2">
      <c r="B7" s="17"/>
    </row>
    <row r="8" spans="1:12" x14ac:dyDescent="0.2">
      <c r="B8" s="22" t="s">
        <v>2</v>
      </c>
      <c r="C8" s="15" t="s">
        <v>7</v>
      </c>
      <c r="D8" s="15" t="s">
        <v>7</v>
      </c>
      <c r="E8" s="15" t="s">
        <v>7</v>
      </c>
      <c r="F8" s="15" t="s">
        <v>7</v>
      </c>
      <c r="G8" s="15" t="s">
        <v>7</v>
      </c>
      <c r="H8" s="15" t="s">
        <v>17</v>
      </c>
      <c r="I8" s="15" t="s">
        <v>17</v>
      </c>
      <c r="J8" s="15" t="s">
        <v>17</v>
      </c>
      <c r="K8" s="15" t="s">
        <v>17</v>
      </c>
      <c r="L8" s="3" t="s">
        <v>7</v>
      </c>
    </row>
    <row r="9" spans="1:12" x14ac:dyDescent="0.2">
      <c r="B9" s="22" t="s">
        <v>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 s="38">
        <f>H40</f>
        <v>582.28043026986222</v>
      </c>
    </row>
    <row r="10" spans="1:12" ht="15" customHeight="1" x14ac:dyDescent="0.2">
      <c r="A10" s="21"/>
      <c r="B10" s="22" t="s">
        <v>6</v>
      </c>
      <c r="C10" s="4">
        <f>IF(C$8="INV", 1+$C$4,IF(C$8="NAND",2+$C$4,IF(C$8="NOR",1+2*$C$4,(1+$C$4))))/(1+$C$4)</f>
        <v>1</v>
      </c>
      <c r="D10" s="4">
        <f t="shared" ref="D10:L10" si="0">IF(D$8="INV", 1+$C$4,IF(D$8="NAND",2+$C$4,IF(D$8="NOR",1+2*$C$4,(1+$C$4))))/(1+$C$4)</f>
        <v>1</v>
      </c>
      <c r="E10" s="4">
        <f t="shared" si="0"/>
        <v>1</v>
      </c>
      <c r="F10" s="4">
        <f t="shared" si="0"/>
        <v>1</v>
      </c>
      <c r="G10" s="4">
        <f t="shared" si="0"/>
        <v>1</v>
      </c>
      <c r="H10" s="4">
        <f t="shared" si="0"/>
        <v>1</v>
      </c>
      <c r="I10" s="4">
        <f t="shared" si="0"/>
        <v>1</v>
      </c>
      <c r="J10" s="4">
        <f t="shared" si="0"/>
        <v>1</v>
      </c>
      <c r="K10" s="4">
        <f t="shared" si="0"/>
        <v>1</v>
      </c>
      <c r="L10" s="4">
        <f t="shared" si="0"/>
        <v>1</v>
      </c>
    </row>
    <row r="11" spans="1:12" ht="16" thickBot="1" x14ac:dyDescent="0.25">
      <c r="A11" s="18"/>
      <c r="B11" s="22" t="s">
        <v>10</v>
      </c>
      <c r="C11" s="4">
        <f t="shared" ref="C11:H11" si="1">IF(C$8="INV", 1,IF(C$8="NAND",(2*$C$4+2)/(1+$C$4),IF(C$8="NOR",(2*$C$4+2)/(1+$C$4),0)))</f>
        <v>1</v>
      </c>
      <c r="D11" s="4">
        <f t="shared" si="1"/>
        <v>1</v>
      </c>
      <c r="E11" s="4">
        <f t="shared" si="1"/>
        <v>1</v>
      </c>
      <c r="F11" s="4">
        <f t="shared" si="1"/>
        <v>1</v>
      </c>
      <c r="G11" s="4">
        <f t="shared" si="1"/>
        <v>1</v>
      </c>
      <c r="H11" s="4">
        <f t="shared" si="1"/>
        <v>0</v>
      </c>
      <c r="I11" s="4">
        <f>IF(I$8="INV", 1,IF(I$8="NAND",(2*$C$4+2)/(1+$C$4),IF(I$8="NOR",(2*$C$4+2)/(1+$C$4),0)))</f>
        <v>0</v>
      </c>
      <c r="J11" s="4">
        <f t="shared" ref="J11:K11" si="2">IF(J$8="INV", 1,IF(J$8="NAND",(2*$C$4+2)/(1+$C$4),IF(J$8="NOR",(2*$C$4+2)/(1+$C$4),0)))</f>
        <v>0</v>
      </c>
      <c r="K11" s="4">
        <f t="shared" si="2"/>
        <v>0</v>
      </c>
      <c r="L11" s="2">
        <f>IF(L$8="INV", 1,IF(L$8="NAND",2,IF(L$8="NOR",1,0)))</f>
        <v>1</v>
      </c>
    </row>
    <row r="12" spans="1:12" ht="16" thickBot="1" x14ac:dyDescent="0.25">
      <c r="A12" s="18"/>
      <c r="B12" s="22" t="s">
        <v>3</v>
      </c>
      <c r="C12" s="36">
        <v>1</v>
      </c>
      <c r="D12" s="5">
        <f t="shared" ref="D12:K12" si="3">$C$22*C12/(C13*D10)</f>
        <v>3.5729458876317683</v>
      </c>
      <c r="E12" s="6">
        <f t="shared" si="3"/>
        <v>12.765942315944764</v>
      </c>
      <c r="F12" s="6">
        <f t="shared" si="3"/>
        <v>45.612021099499216</v>
      </c>
      <c r="G12" s="6">
        <f t="shared" si="3"/>
        <v>162.96928321402916</v>
      </c>
      <c r="H12" s="6">
        <f t="shared" si="3"/>
        <v>582.28043026986245</v>
      </c>
      <c r="I12" s="6">
        <f t="shared" si="3"/>
        <v>2080.4564687811617</v>
      </c>
      <c r="J12" s="6">
        <f t="shared" si="3"/>
        <v>7433.3583845285621</v>
      </c>
      <c r="K12" s="7">
        <f t="shared" si="3"/>
        <v>26558.987271294453</v>
      </c>
      <c r="L12">
        <v>1</v>
      </c>
    </row>
    <row r="13" spans="1:12" ht="16" thickBot="1" x14ac:dyDescent="0.25">
      <c r="A13" s="18"/>
      <c r="B13" s="22" t="s">
        <v>18</v>
      </c>
      <c r="C13" s="37">
        <f>IF(C8="NONE",1,D9)</f>
        <v>1</v>
      </c>
      <c r="D13" s="37">
        <f t="shared" ref="D13:J13" si="4">IF(D8="NONE",1,E9)</f>
        <v>1</v>
      </c>
      <c r="E13" s="37">
        <f t="shared" si="4"/>
        <v>1</v>
      </c>
      <c r="F13" s="37">
        <f t="shared" si="4"/>
        <v>1</v>
      </c>
      <c r="G13" s="37">
        <v>1</v>
      </c>
      <c r="H13" s="37">
        <v>1</v>
      </c>
      <c r="I13" s="37">
        <f t="shared" si="4"/>
        <v>1</v>
      </c>
      <c r="J13" s="37">
        <f t="shared" si="4"/>
        <v>1</v>
      </c>
      <c r="K13" s="37">
        <f>IF(K8="NONE",1,L9)</f>
        <v>1</v>
      </c>
    </row>
    <row r="14" spans="1:12" ht="16" thickBot="1" x14ac:dyDescent="0.25">
      <c r="A14" s="18"/>
      <c r="B14" s="22" t="s">
        <v>20</v>
      </c>
      <c r="C14" s="10">
        <v>1</v>
      </c>
      <c r="D14" s="11">
        <v>1</v>
      </c>
      <c r="E14" s="12">
        <v>1</v>
      </c>
      <c r="F14" s="12">
        <v>1</v>
      </c>
      <c r="G14" s="12">
        <v>1</v>
      </c>
      <c r="H14" s="12">
        <v>1</v>
      </c>
      <c r="I14" s="12">
        <v>1</v>
      </c>
      <c r="J14" s="12">
        <v>1</v>
      </c>
      <c r="K14" s="13">
        <v>1</v>
      </c>
      <c r="L14" s="4">
        <f>L12</f>
        <v>1</v>
      </c>
    </row>
    <row r="15" spans="1:12" x14ac:dyDescent="0.2">
      <c r="B15" s="22" t="s">
        <v>44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/>
    </row>
    <row r="16" spans="1:12" x14ac:dyDescent="0.2">
      <c r="B16" s="23"/>
      <c r="C16" s="8">
        <f t="shared" ref="C16:F16" si="5">(IF(D8="NONE",$L10,D10)/C10)*(IF(D8="NONE",$L9*$L14*C10*C13+C15,D9*D14*C10*C13+C15)/C14)</f>
        <v>1</v>
      </c>
      <c r="D16" s="8">
        <f t="shared" si="5"/>
        <v>1</v>
      </c>
      <c r="E16" s="8">
        <f t="shared" si="5"/>
        <v>1</v>
      </c>
      <c r="F16" s="8">
        <f t="shared" si="5"/>
        <v>1</v>
      </c>
      <c r="G16" s="8">
        <f>(IF(H8="NONE",$L10,H10)/G10)*(IF(H8="NONE",$L9*$L14*G10*G13+G15,H9*H14*G10*G13+G15)/G14)</f>
        <v>582.28043026986222</v>
      </c>
      <c r="H16" s="8">
        <f t="shared" ref="H16:K16" si="6">(IF(I8="NONE",$L10,I10)/H10)*(IF(I8="NONE",$L9*$L14*H10*H13+H15,I9*I14*H10*H13+H15)/H14)</f>
        <v>582.28043026986222</v>
      </c>
      <c r="I16" s="8">
        <f t="shared" si="6"/>
        <v>582.28043026986222</v>
      </c>
      <c r="J16" s="8">
        <f t="shared" si="6"/>
        <v>582.28043026986222</v>
      </c>
      <c r="K16" s="8">
        <f t="shared" si="6"/>
        <v>582.28043026986222</v>
      </c>
    </row>
    <row r="17" spans="2:10" x14ac:dyDescent="0.2">
      <c r="B17" s="22" t="s">
        <v>21</v>
      </c>
      <c r="C17" s="8">
        <f>SUM(C11:K11)+SUMIF(C8:K8,"&lt;&gt;NONE",C16:K16)</f>
        <v>591.28043026986222</v>
      </c>
    </row>
    <row r="20" spans="2:10" x14ac:dyDescent="0.2">
      <c r="E20" s="34" t="s">
        <v>45</v>
      </c>
      <c r="F20" s="33"/>
      <c r="G20" s="27"/>
      <c r="H20" s="27"/>
      <c r="I20" s="27"/>
      <c r="J20" s="28"/>
    </row>
    <row r="21" spans="2:10" x14ac:dyDescent="0.2">
      <c r="B21" s="19" t="s">
        <v>12</v>
      </c>
      <c r="C21" s="14">
        <f>COUNTIF(C8:K8,"&lt;&gt;NONE")</f>
        <v>5</v>
      </c>
      <c r="E21" s="2"/>
      <c r="J21" s="29"/>
    </row>
    <row r="22" spans="2:10" x14ac:dyDescent="0.2">
      <c r="B22" s="19" t="s">
        <v>13</v>
      </c>
      <c r="C22" s="14">
        <f>POWER(C23*C24*C25,1/C21)</f>
        <v>3.5729458876317683</v>
      </c>
      <c r="E22" s="2"/>
      <c r="F22" s="14"/>
      <c r="G22" t="s">
        <v>46</v>
      </c>
      <c r="J22" s="29"/>
    </row>
    <row r="23" spans="2:10" x14ac:dyDescent="0.2">
      <c r="B23" s="19" t="s">
        <v>14</v>
      </c>
      <c r="C23" s="14">
        <f>(L9*L10*L12)/(C10*C12)</f>
        <v>582.28043026986222</v>
      </c>
      <c r="E23" s="2"/>
      <c r="F23" s="24"/>
      <c r="G23" t="s">
        <v>47</v>
      </c>
      <c r="J23" s="29"/>
    </row>
    <row r="24" spans="2:10" x14ac:dyDescent="0.2">
      <c r="B24" s="19" t="s">
        <v>15</v>
      </c>
      <c r="C24" s="14">
        <f>PRODUCT(C10:K10)</f>
        <v>1</v>
      </c>
      <c r="E24" s="2"/>
      <c r="F24" s="25"/>
      <c r="G24" t="s">
        <v>48</v>
      </c>
      <c r="J24" s="29"/>
    </row>
    <row r="25" spans="2:10" x14ac:dyDescent="0.2">
      <c r="B25" s="19" t="s">
        <v>16</v>
      </c>
      <c r="C25" s="14">
        <f>PRODUCT(C13:K13)</f>
        <v>1</v>
      </c>
      <c r="E25" s="2"/>
      <c r="F25" s="26"/>
      <c r="G25" t="s">
        <v>49</v>
      </c>
      <c r="J25" s="29"/>
    </row>
    <row r="26" spans="2:10" x14ac:dyDescent="0.2">
      <c r="B26" s="19" t="s">
        <v>19</v>
      </c>
      <c r="C26" s="14">
        <f>SUM(C11:K11)+C21*C22</f>
        <v>22.864729438158843</v>
      </c>
      <c r="E26" s="30"/>
      <c r="F26" s="31"/>
      <c r="G26" s="31"/>
      <c r="H26" s="31"/>
      <c r="I26" s="31"/>
      <c r="J26" s="32"/>
    </row>
    <row r="31" spans="2:10" x14ac:dyDescent="0.2">
      <c r="B31" t="s">
        <v>50</v>
      </c>
    </row>
    <row r="33" spans="2:9" x14ac:dyDescent="0.2">
      <c r="B33" s="9" t="s">
        <v>40</v>
      </c>
      <c r="C33" s="9"/>
      <c r="D33" s="9"/>
      <c r="E33" s="9"/>
      <c r="F33" s="9"/>
      <c r="G33" s="9"/>
      <c r="H33" s="9"/>
      <c r="I33" s="9"/>
    </row>
    <row r="34" spans="2:9" x14ac:dyDescent="0.2">
      <c r="B34" s="9"/>
      <c r="C34" s="9"/>
      <c r="D34" s="9"/>
      <c r="E34" s="9"/>
      <c r="F34" s="9"/>
      <c r="G34" s="9"/>
      <c r="H34" s="9"/>
      <c r="I34" s="9"/>
    </row>
    <row r="35" spans="2:9" x14ac:dyDescent="0.2">
      <c r="B35" s="9" t="s">
        <v>37</v>
      </c>
      <c r="C35" s="9"/>
      <c r="D35" s="9"/>
      <c r="E35" s="9"/>
      <c r="F35" s="9"/>
      <c r="G35" s="9"/>
      <c r="H35" s="9"/>
      <c r="I35" s="9"/>
    </row>
    <row r="36" spans="2:9" x14ac:dyDescent="0.2">
      <c r="B36" s="9"/>
      <c r="C36" s="9"/>
      <c r="D36" s="9"/>
      <c r="E36" t="s">
        <v>41</v>
      </c>
      <c r="F36">
        <v>128</v>
      </c>
      <c r="I36" s="9"/>
    </row>
    <row r="37" spans="2:9" x14ac:dyDescent="0.2">
      <c r="B37" s="9"/>
      <c r="C37" s="9"/>
      <c r="D37" s="9"/>
      <c r="E37" t="s">
        <v>42</v>
      </c>
      <c r="F37">
        <f>(2*C4+1)*'1-&gt;2, all'!C53</f>
        <v>12</v>
      </c>
      <c r="G37" t="s">
        <v>53</v>
      </c>
      <c r="I37" t="s">
        <v>39</v>
      </c>
    </row>
    <row r="38" spans="2:9" x14ac:dyDescent="0.2">
      <c r="B38" s="9"/>
      <c r="C38" s="9"/>
      <c r="D38" s="9"/>
      <c r="E38" t="s">
        <v>38</v>
      </c>
      <c r="F38">
        <f>'1-&gt;2, all'!G34/'1-&gt;2, all'!G41</f>
        <v>501.98150594451783</v>
      </c>
      <c r="G38" t="s">
        <v>39</v>
      </c>
      <c r="H38">
        <f>F38/(1+C4)</f>
        <v>143.42328741271939</v>
      </c>
      <c r="I38" s="9" t="s">
        <v>22</v>
      </c>
    </row>
    <row r="39" spans="2:9" x14ac:dyDescent="0.2">
      <c r="B39" s="9"/>
      <c r="C39" s="9"/>
      <c r="D39" s="9"/>
      <c r="I39" s="9"/>
    </row>
    <row r="40" spans="2:9" x14ac:dyDescent="0.2">
      <c r="B40" s="9"/>
      <c r="C40" s="9"/>
      <c r="D40" s="9"/>
      <c r="E40" t="s">
        <v>57</v>
      </c>
      <c r="F40">
        <f>F36*F37+F38</f>
        <v>2037.9815059445177</v>
      </c>
      <c r="G40" t="s">
        <v>39</v>
      </c>
      <c r="H40">
        <f>F40/(1+C4)</f>
        <v>582.28043026986222</v>
      </c>
      <c r="I40" s="9" t="s">
        <v>22</v>
      </c>
    </row>
    <row r="42" spans="2:9" x14ac:dyDescent="0.2">
      <c r="B42" t="s">
        <v>52</v>
      </c>
      <c r="C42">
        <v>2</v>
      </c>
      <c r="D42">
        <v>3</v>
      </c>
      <c r="E42">
        <v>4</v>
      </c>
      <c r="F42">
        <v>5</v>
      </c>
    </row>
    <row r="43" spans="2:9" x14ac:dyDescent="0.2">
      <c r="B43" t="s">
        <v>51</v>
      </c>
      <c r="C43">
        <f>ROUND(D12,0)</f>
        <v>4</v>
      </c>
      <c r="D43">
        <f t="shared" ref="D43:F43" si="7">ROUND(E12,0)</f>
        <v>13</v>
      </c>
      <c r="E43">
        <f t="shared" si="7"/>
        <v>46</v>
      </c>
      <c r="F43">
        <f t="shared" si="7"/>
        <v>163</v>
      </c>
    </row>
  </sheetData>
  <conditionalFormatting sqref="C8:K8">
    <cfRule type="containsText" dxfId="24" priority="3" operator="containsText" text="NONE">
      <formula>NOT(ISERROR(SEARCH("NONE",C8)))</formula>
    </cfRule>
    <cfRule type="cellIs" dxfId="23" priority="4" operator="equal">
      <formula>"""NONE"""</formula>
    </cfRule>
    <cfRule type="cellIs" dxfId="22" priority="5" operator="equal">
      <formula>"""NONE"""</formula>
    </cfRule>
  </conditionalFormatting>
  <conditionalFormatting sqref="D12">
    <cfRule type="containsText" dxfId="21" priority="6" operator="containsText" text="NONE">
      <formula>NOT(ISERROR(SEARCH("NONE",D12)))</formula>
    </cfRule>
  </conditionalFormatting>
  <conditionalFormatting sqref="D14">
    <cfRule type="containsText" dxfId="20" priority="1" operator="containsText" text="NONE">
      <formula>NOT(ISERROR(SEARCH("NONE",D14)))</formula>
    </cfRule>
  </conditionalFormatting>
  <dataValidations count="1">
    <dataValidation type="list" allowBlank="1" showInputMessage="1" showErrorMessage="1" sqref="C8:L8" xr:uid="{DC0FDE83-4A30-8741-B386-0805085B8EE8}">
      <formula1>"INV,NAND,NOR,NONE"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237C5-6467-1A4E-8035-4E7D0A6D534C}">
  <dimension ref="A2:L33"/>
  <sheetViews>
    <sheetView topLeftCell="A9" zoomScale="159" workbookViewId="0">
      <selection activeCell="C10" sqref="C10:L10"/>
    </sheetView>
  </sheetViews>
  <sheetFormatPr baseColWidth="10" defaultColWidth="8.83203125" defaultRowHeight="15" x14ac:dyDescent="0.2"/>
  <cols>
    <col min="2" max="2" width="13.6640625" customWidth="1"/>
    <col min="4" max="4" width="12.33203125" customWidth="1"/>
    <col min="11" max="11" width="9" customWidth="1"/>
    <col min="12" max="12" width="8.83203125" style="2"/>
  </cols>
  <sheetData>
    <row r="2" spans="1:12" ht="19" x14ac:dyDescent="0.25">
      <c r="B2" s="1" t="s">
        <v>0</v>
      </c>
    </row>
    <row r="4" spans="1:12" x14ac:dyDescent="0.2">
      <c r="B4" s="19" t="s">
        <v>5</v>
      </c>
      <c r="C4" s="35">
        <v>2.5</v>
      </c>
    </row>
    <row r="6" spans="1:12" x14ac:dyDescent="0.2">
      <c r="B6" s="16" t="s">
        <v>1</v>
      </c>
      <c r="C6" s="39">
        <v>1</v>
      </c>
      <c r="D6" s="39">
        <v>2</v>
      </c>
      <c r="E6" s="39">
        <v>3</v>
      </c>
      <c r="F6" s="39">
        <v>4</v>
      </c>
      <c r="G6" s="39">
        <v>5</v>
      </c>
      <c r="H6" s="39">
        <v>6</v>
      </c>
      <c r="I6" s="39">
        <v>7</v>
      </c>
      <c r="J6" s="39">
        <v>8</v>
      </c>
      <c r="K6" s="39">
        <v>9</v>
      </c>
      <c r="L6" s="20" t="s">
        <v>11</v>
      </c>
    </row>
    <row r="7" spans="1:12" x14ac:dyDescent="0.2">
      <c r="B7" s="17"/>
    </row>
    <row r="8" spans="1:12" x14ac:dyDescent="0.2">
      <c r="B8" s="22" t="s">
        <v>2</v>
      </c>
      <c r="C8" s="15" t="s">
        <v>7</v>
      </c>
      <c r="D8" s="15" t="s">
        <v>7</v>
      </c>
      <c r="E8" s="15" t="s">
        <v>7</v>
      </c>
      <c r="F8" s="15" t="s">
        <v>7</v>
      </c>
      <c r="G8" s="15" t="s">
        <v>7</v>
      </c>
      <c r="H8" s="15" t="s">
        <v>9</v>
      </c>
      <c r="I8" s="15" t="s">
        <v>8</v>
      </c>
      <c r="J8" s="15" t="s">
        <v>9</v>
      </c>
      <c r="K8" s="15" t="s">
        <v>17</v>
      </c>
      <c r="L8" s="3" t="s">
        <v>7</v>
      </c>
    </row>
    <row r="9" spans="1:12" x14ac:dyDescent="0.2">
      <c r="B9" s="22" t="s">
        <v>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 s="38">
        <f>'1-&gt;2, all'!L9</f>
        <v>26.211738063785621</v>
      </c>
    </row>
    <row r="10" spans="1:12" ht="15" customHeight="1" x14ac:dyDescent="0.2">
      <c r="A10" s="21"/>
      <c r="B10" s="22" t="s">
        <v>6</v>
      </c>
      <c r="C10" s="4">
        <f>IF(C$8="INV", 1+$C$4,IF(C$8="NAND",2+$C$4,IF(C$8="NOR",1+2*$C$4,(1+$C$4))))/(1+$C$4)</f>
        <v>1</v>
      </c>
      <c r="D10" s="4">
        <f t="shared" ref="D10:L10" si="0">IF(D$8="INV", 1+$C$4,IF(D$8="NAND",2+$C$4,IF(D$8="NOR",1+2*$C$4,(1+$C$4))))/(1+$C$4)</f>
        <v>1</v>
      </c>
      <c r="E10" s="4">
        <f t="shared" si="0"/>
        <v>1</v>
      </c>
      <c r="F10" s="4">
        <f t="shared" si="0"/>
        <v>1</v>
      </c>
      <c r="G10" s="4">
        <f t="shared" si="0"/>
        <v>1</v>
      </c>
      <c r="H10" s="4">
        <f t="shared" si="0"/>
        <v>1.7142857142857142</v>
      </c>
      <c r="I10" s="4">
        <f t="shared" si="0"/>
        <v>1.2857142857142858</v>
      </c>
      <c r="J10" s="4">
        <f t="shared" si="0"/>
        <v>1.7142857142857142</v>
      </c>
      <c r="K10" s="4">
        <f t="shared" si="0"/>
        <v>1</v>
      </c>
      <c r="L10" s="4">
        <f t="shared" si="0"/>
        <v>1</v>
      </c>
    </row>
    <row r="11" spans="1:12" ht="16" thickBot="1" x14ac:dyDescent="0.25">
      <c r="A11" s="18"/>
      <c r="B11" s="22" t="s">
        <v>10</v>
      </c>
      <c r="C11" s="4">
        <f t="shared" ref="C11:H11" si="1">IF(C$8="INV", 1,IF(C$8="NAND",(2*$C$4+2)/(1+$C$4),IF(C$8="NOR",(2*$C$4+2)/(1+$C$4),0)))</f>
        <v>1</v>
      </c>
      <c r="D11" s="4">
        <f t="shared" si="1"/>
        <v>1</v>
      </c>
      <c r="E11" s="4">
        <f t="shared" si="1"/>
        <v>1</v>
      </c>
      <c r="F11" s="4">
        <f t="shared" si="1"/>
        <v>1</v>
      </c>
      <c r="G11" s="4">
        <f t="shared" si="1"/>
        <v>1</v>
      </c>
      <c r="H11" s="4">
        <f t="shared" si="1"/>
        <v>2</v>
      </c>
      <c r="I11" s="4">
        <f>IF(I$8="INV", 1,IF(I$8="NAND",(2*$C$4+2)/(1+$C$4),IF(I$8="NOR",(2*$C$4+2)/(1+$C$4),0)))</f>
        <v>2</v>
      </c>
      <c r="J11" s="4">
        <f t="shared" ref="J11:K11" si="2">IF(J$8="INV", 1,IF(J$8="NAND",(2*$C$4+2)/(1+$C$4),IF(J$8="NOR",(2*$C$4+2)/(1+$C$4),0)))</f>
        <v>2</v>
      </c>
      <c r="K11" s="4">
        <f t="shared" si="2"/>
        <v>0</v>
      </c>
      <c r="L11" s="2">
        <f>IF(L$8="INV", 1,IF(L$8="NAND",2,IF(L$8="NOR",1,0)))</f>
        <v>1</v>
      </c>
    </row>
    <row r="12" spans="1:12" ht="16" thickBot="1" x14ac:dyDescent="0.25">
      <c r="A12" s="18"/>
      <c r="B12" s="22" t="s">
        <v>3</v>
      </c>
      <c r="C12" s="36">
        <v>1</v>
      </c>
      <c r="D12" s="5">
        <f t="shared" ref="D12:K12" si="3">$C$22*C12/(C13*D10)</f>
        <v>3.2574449412514905</v>
      </c>
      <c r="E12" s="6">
        <f t="shared" si="3"/>
        <v>10.610947545284926</v>
      </c>
      <c r="F12" s="6">
        <f t="shared" si="3"/>
        <v>34.564577403273304</v>
      </c>
      <c r="G12" s="6">
        <f t="shared" si="3"/>
        <v>112.5922078087882</v>
      </c>
      <c r="H12" s="6">
        <f t="shared" si="3"/>
        <v>1.6714455887093203</v>
      </c>
      <c r="I12" s="6">
        <f t="shared" si="3"/>
        <v>4.2347215380697847</v>
      </c>
      <c r="J12" s="6">
        <f t="shared" si="3"/>
        <v>8.0467171468799226</v>
      </c>
      <c r="K12" s="7">
        <f t="shared" si="3"/>
        <v>26.211738063785631</v>
      </c>
      <c r="L12">
        <v>1</v>
      </c>
    </row>
    <row r="13" spans="1:12" ht="16" thickBot="1" x14ac:dyDescent="0.25">
      <c r="A13" s="18"/>
      <c r="B13" s="22" t="s">
        <v>18</v>
      </c>
      <c r="C13" s="37">
        <f>IF(C8="NONE",1,D9)</f>
        <v>1</v>
      </c>
      <c r="D13" s="37">
        <f t="shared" ref="D13:J13" si="4">IF(D8="NONE",1,E9)</f>
        <v>1</v>
      </c>
      <c r="E13" s="37">
        <f t="shared" si="4"/>
        <v>1</v>
      </c>
      <c r="F13" s="37">
        <f t="shared" si="4"/>
        <v>1</v>
      </c>
      <c r="G13" s="37">
        <f>128</f>
        <v>128</v>
      </c>
      <c r="H13" s="37">
        <v>1</v>
      </c>
      <c r="I13" s="37">
        <f t="shared" si="4"/>
        <v>1</v>
      </c>
      <c r="J13" s="37">
        <f t="shared" si="4"/>
        <v>1</v>
      </c>
      <c r="K13" s="37">
        <f>IF(K8="NONE",1,L9)</f>
        <v>1</v>
      </c>
    </row>
    <row r="14" spans="1:12" ht="16" thickBot="1" x14ac:dyDescent="0.25">
      <c r="A14" s="18"/>
      <c r="B14" s="22" t="s">
        <v>20</v>
      </c>
      <c r="C14" s="10">
        <v>1</v>
      </c>
      <c r="D14" s="11">
        <f>'1-&gt;2, first'!C43</f>
        <v>4</v>
      </c>
      <c r="E14" s="11">
        <f>'1-&gt;2, first'!D43</f>
        <v>13</v>
      </c>
      <c r="F14" s="11">
        <f>'1-&gt;2, first'!E43</f>
        <v>46</v>
      </c>
      <c r="G14" s="11">
        <f>'1-&gt;2, first'!F43</f>
        <v>163</v>
      </c>
      <c r="H14" s="12">
        <f>'1-&gt;2, all'!C53</f>
        <v>2</v>
      </c>
      <c r="I14" s="12">
        <f>'1-&gt;2, all'!D53</f>
        <v>4</v>
      </c>
      <c r="J14" s="12">
        <f>'1-&gt;2, all'!E53</f>
        <v>8</v>
      </c>
      <c r="K14" s="13"/>
      <c r="L14" s="4">
        <f>L12</f>
        <v>1</v>
      </c>
    </row>
    <row r="15" spans="1:12" x14ac:dyDescent="0.2">
      <c r="B15" s="22" t="s">
        <v>44</v>
      </c>
      <c r="C15" s="10">
        <v>0</v>
      </c>
      <c r="D15" s="10">
        <v>0</v>
      </c>
      <c r="E15" s="10">
        <v>0</v>
      </c>
      <c r="F15" s="10">
        <v>0</v>
      </c>
      <c r="G15" s="10">
        <f>'1-&gt;2, first'!H38</f>
        <v>143.42328741271939</v>
      </c>
      <c r="H15" s="10">
        <v>0</v>
      </c>
      <c r="I15" s="10">
        <v>0</v>
      </c>
      <c r="J15" s="10">
        <v>0</v>
      </c>
      <c r="K15" s="10">
        <v>0</v>
      </c>
      <c r="L15"/>
    </row>
    <row r="16" spans="1:12" x14ac:dyDescent="0.2">
      <c r="B16" s="23"/>
      <c r="C16" s="8">
        <f t="shared" ref="C16:F16" si="5">(IF(D8="NONE",$L10,D10)/C10)*(IF(D8="NONE",$L9*$L14*C10*C13+C15,D9*D14*C10*C13+C15)/C14)</f>
        <v>4</v>
      </c>
      <c r="D16" s="8">
        <f t="shared" si="5"/>
        <v>3.25</v>
      </c>
      <c r="E16" s="8">
        <f t="shared" si="5"/>
        <v>3.5384615384615383</v>
      </c>
      <c r="F16" s="8">
        <f t="shared" si="5"/>
        <v>3.5434782608695654</v>
      </c>
      <c r="G16" s="8">
        <f>(IF(H8="NONE",$L10,H10)/G10)*(IF(H8="NONE",$L9*$L14*G10*G13+G15,H9*H14*G10*G13+G15)/G14)</f>
        <v>4.2007707703353487</v>
      </c>
      <c r="H16" s="8">
        <f t="shared" ref="H16:J16" si="6">(IF(I8="NONE",$L10,I10)/H10)*(IF(I8="NONE",$L9*$L14*H10*H13+H15,I9*I14*H10*H13+H15)/H14)</f>
        <v>2.5714285714285716</v>
      </c>
      <c r="I16" s="8">
        <f t="shared" si="6"/>
        <v>3.4285714285714288</v>
      </c>
      <c r="J16" s="8">
        <f t="shared" si="6"/>
        <v>3.2764672579732026</v>
      </c>
      <c r="K16" s="8"/>
    </row>
    <row r="17" spans="2:10" x14ac:dyDescent="0.2">
      <c r="B17" s="22" t="s">
        <v>21</v>
      </c>
      <c r="C17" s="8">
        <f>SUM(C11:K11)+SUMIF(C8:K8,"&lt;&gt;NONE",C16:K16)</f>
        <v>38.809177827639658</v>
      </c>
    </row>
    <row r="20" spans="2:10" x14ac:dyDescent="0.2">
      <c r="E20" s="34" t="s">
        <v>45</v>
      </c>
      <c r="F20" s="33"/>
      <c r="G20" s="27"/>
      <c r="H20" s="27"/>
      <c r="I20" s="27"/>
      <c r="J20" s="28"/>
    </row>
    <row r="21" spans="2:10" x14ac:dyDescent="0.2">
      <c r="B21" s="19" t="s">
        <v>12</v>
      </c>
      <c r="C21" s="14">
        <f>COUNTIF(C8:K8,"&lt;&gt;NONE")</f>
        <v>8</v>
      </c>
      <c r="E21" s="2"/>
      <c r="J21" s="29"/>
    </row>
    <row r="22" spans="2:10" x14ac:dyDescent="0.2">
      <c r="B22" s="19" t="s">
        <v>13</v>
      </c>
      <c r="C22" s="14">
        <f>POWER(C23*C24*C25,1/C21)</f>
        <v>3.2574449412514905</v>
      </c>
      <c r="E22" s="2"/>
      <c r="F22" s="14"/>
      <c r="G22" t="s">
        <v>46</v>
      </c>
      <c r="J22" s="29"/>
    </row>
    <row r="23" spans="2:10" x14ac:dyDescent="0.2">
      <c r="B23" s="19" t="s">
        <v>14</v>
      </c>
      <c r="C23" s="14">
        <f>(L9*L10*L12)/(C10*C12)</f>
        <v>26.211738063785621</v>
      </c>
      <c r="E23" s="2"/>
      <c r="F23" s="24"/>
      <c r="G23" t="s">
        <v>47</v>
      </c>
      <c r="J23" s="29"/>
    </row>
    <row r="24" spans="2:10" x14ac:dyDescent="0.2">
      <c r="B24" s="19" t="s">
        <v>15</v>
      </c>
      <c r="C24" s="14">
        <f>PRODUCT(C10:K10)</f>
        <v>3.7784256559766765</v>
      </c>
      <c r="E24" s="2"/>
      <c r="F24" s="25"/>
      <c r="G24" t="s">
        <v>48</v>
      </c>
      <c r="J24" s="29"/>
    </row>
    <row r="25" spans="2:10" x14ac:dyDescent="0.2">
      <c r="B25" s="19" t="s">
        <v>16</v>
      </c>
      <c r="C25" s="14">
        <f>PRODUCT(C13:K13)</f>
        <v>128</v>
      </c>
      <c r="E25" s="2"/>
      <c r="F25" s="26"/>
      <c r="G25" t="s">
        <v>49</v>
      </c>
      <c r="J25" s="29"/>
    </row>
    <row r="26" spans="2:10" x14ac:dyDescent="0.2">
      <c r="B26" s="19" t="s">
        <v>19</v>
      </c>
      <c r="C26" s="14">
        <f>SUM(C11:K11)+C21*C22</f>
        <v>37.059559530011924</v>
      </c>
      <c r="E26" s="30"/>
      <c r="F26" s="31"/>
      <c r="G26" s="31"/>
      <c r="H26" s="31"/>
      <c r="I26" s="31"/>
      <c r="J26" s="32"/>
    </row>
    <row r="31" spans="2:10" x14ac:dyDescent="0.2">
      <c r="B31" t="s">
        <v>50</v>
      </c>
    </row>
    <row r="33" spans="2:3" x14ac:dyDescent="0.2">
      <c r="B33" t="s">
        <v>54</v>
      </c>
      <c r="C33">
        <f>ROUND(C17,1)</f>
        <v>38.799999999999997</v>
      </c>
    </row>
  </sheetData>
  <conditionalFormatting sqref="C8:K8">
    <cfRule type="containsText" dxfId="19" priority="2" operator="containsText" text="NONE">
      <formula>NOT(ISERROR(SEARCH("NONE",C8)))</formula>
    </cfRule>
    <cfRule type="cellIs" dxfId="18" priority="3" operator="equal">
      <formula>"""NONE"""</formula>
    </cfRule>
    <cfRule type="cellIs" dxfId="17" priority="4" operator="equal">
      <formula>"""NONE"""</formula>
    </cfRule>
  </conditionalFormatting>
  <conditionalFormatting sqref="D12">
    <cfRule type="containsText" dxfId="16" priority="5" operator="containsText" text="NONE">
      <formula>NOT(ISERROR(SEARCH("NONE",D12)))</formula>
    </cfRule>
  </conditionalFormatting>
  <conditionalFormatting sqref="D14:G14">
    <cfRule type="containsText" dxfId="15" priority="1" operator="containsText" text="NONE">
      <formula>NOT(ISERROR(SEARCH("NONE",D14)))</formula>
    </cfRule>
  </conditionalFormatting>
  <dataValidations count="1">
    <dataValidation type="list" allowBlank="1" showInputMessage="1" showErrorMessage="1" sqref="C8:L8" xr:uid="{F92CFF4E-B4C6-1C41-9AF9-80F8E2225642}">
      <formula1>"INV,NAND,NOR,NONE"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D499D-7C9A-0B43-9212-030FED17A752}">
  <dimension ref="A2:L53"/>
  <sheetViews>
    <sheetView topLeftCell="A8" zoomScale="171" workbookViewId="0">
      <selection activeCell="D20" sqref="D20"/>
    </sheetView>
  </sheetViews>
  <sheetFormatPr baseColWidth="10" defaultColWidth="8.83203125" defaultRowHeight="15" x14ac:dyDescent="0.2"/>
  <cols>
    <col min="2" max="2" width="13.6640625" customWidth="1"/>
    <col min="4" max="4" width="12.33203125" customWidth="1"/>
    <col min="11" max="11" width="9" customWidth="1"/>
    <col min="12" max="12" width="8.83203125" style="2"/>
  </cols>
  <sheetData>
    <row r="2" spans="1:12" ht="19" x14ac:dyDescent="0.25">
      <c r="B2" s="1" t="s">
        <v>0</v>
      </c>
    </row>
    <row r="4" spans="1:12" x14ac:dyDescent="0.2">
      <c r="B4" s="19" t="s">
        <v>5</v>
      </c>
      <c r="C4" s="35">
        <v>2.5</v>
      </c>
    </row>
    <row r="6" spans="1:12" x14ac:dyDescent="0.2">
      <c r="B6" s="16" t="s">
        <v>1</v>
      </c>
      <c r="C6" s="39">
        <v>1</v>
      </c>
      <c r="D6" s="39">
        <v>2</v>
      </c>
      <c r="E6" s="39">
        <v>3</v>
      </c>
      <c r="F6" s="39">
        <v>4</v>
      </c>
      <c r="G6" s="39">
        <v>5</v>
      </c>
      <c r="H6" s="39">
        <v>6</v>
      </c>
      <c r="I6" s="39">
        <v>7</v>
      </c>
      <c r="J6" s="39">
        <v>8</v>
      </c>
      <c r="K6" s="39">
        <v>9</v>
      </c>
      <c r="L6" s="20" t="s">
        <v>11</v>
      </c>
    </row>
    <row r="7" spans="1:12" x14ac:dyDescent="0.2">
      <c r="B7" s="17"/>
    </row>
    <row r="8" spans="1:12" x14ac:dyDescent="0.2">
      <c r="B8" s="22" t="s">
        <v>2</v>
      </c>
      <c r="C8" s="15" t="s">
        <v>7</v>
      </c>
      <c r="D8" s="15" t="s">
        <v>7</v>
      </c>
      <c r="E8" s="15" t="s">
        <v>7</v>
      </c>
      <c r="F8" s="15" t="s">
        <v>8</v>
      </c>
      <c r="G8" s="15" t="s">
        <v>7</v>
      </c>
      <c r="H8" s="15" t="s">
        <v>8</v>
      </c>
      <c r="I8" s="15" t="s">
        <v>9</v>
      </c>
      <c r="J8" s="15" t="s">
        <v>17</v>
      </c>
      <c r="K8" s="15" t="s">
        <v>17</v>
      </c>
      <c r="L8" s="3" t="s">
        <v>7</v>
      </c>
    </row>
    <row r="9" spans="1:12" x14ac:dyDescent="0.2">
      <c r="B9" s="22" t="s">
        <v>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 s="38">
        <f>'2-&gt;4, all'!I47</f>
        <v>26.211738063785621</v>
      </c>
    </row>
    <row r="10" spans="1:12" ht="15" customHeight="1" x14ac:dyDescent="0.2">
      <c r="A10" s="21"/>
      <c r="B10" s="22" t="s">
        <v>6</v>
      </c>
      <c r="C10" s="4">
        <f>IF(C$8="INV", 1+$C$4,IF(C$8="NAND",2+$C$4,IF(C$8="NOR",1+2*$C$4,(1+$C$4))))/(1+$C$4)</f>
        <v>1</v>
      </c>
      <c r="D10" s="4">
        <f t="shared" ref="D10:L10" si="0">IF(D$8="INV", 1+$C$4,IF(D$8="NAND",2+$C$4,IF(D$8="NOR",1+2*$C$4,(1+$C$4))))/(1+$C$4)</f>
        <v>1</v>
      </c>
      <c r="E10" s="4">
        <f t="shared" si="0"/>
        <v>1</v>
      </c>
      <c r="F10" s="4">
        <f t="shared" si="0"/>
        <v>1.2857142857142858</v>
      </c>
      <c r="G10" s="4">
        <f t="shared" si="0"/>
        <v>1</v>
      </c>
      <c r="H10" s="4">
        <f t="shared" si="0"/>
        <v>1.2857142857142858</v>
      </c>
      <c r="I10" s="4">
        <f t="shared" si="0"/>
        <v>1.7142857142857142</v>
      </c>
      <c r="J10" s="4">
        <f t="shared" si="0"/>
        <v>1</v>
      </c>
      <c r="K10" s="4">
        <f t="shared" si="0"/>
        <v>1</v>
      </c>
      <c r="L10" s="4">
        <f t="shared" si="0"/>
        <v>1</v>
      </c>
    </row>
    <row r="11" spans="1:12" ht="16" thickBot="1" x14ac:dyDescent="0.25">
      <c r="A11" s="18"/>
      <c r="B11" s="22" t="s">
        <v>10</v>
      </c>
      <c r="C11" s="4">
        <f t="shared" ref="C11:H11" si="1">IF(C$8="INV", 1,IF(C$8="NAND",(2*$C$4+2)/(1+$C$4),IF(C$8="NOR",(2*$C$4+2)/(1+$C$4),0)))</f>
        <v>1</v>
      </c>
      <c r="D11" s="4">
        <f t="shared" si="1"/>
        <v>1</v>
      </c>
      <c r="E11" s="4">
        <f t="shared" si="1"/>
        <v>1</v>
      </c>
      <c r="F11" s="4">
        <f t="shared" si="1"/>
        <v>2</v>
      </c>
      <c r="G11" s="4">
        <f t="shared" si="1"/>
        <v>1</v>
      </c>
      <c r="H11" s="4">
        <f t="shared" si="1"/>
        <v>2</v>
      </c>
      <c r="I11" s="4">
        <f>IF(I$8="INV", 1,IF(I$8="NAND",(2*$C$4+2)/(1+$C$4),IF(I$8="NOR",(2*$C$4+2)/(1+$C$4),0)))</f>
        <v>2</v>
      </c>
      <c r="J11" s="4">
        <f t="shared" ref="J11:K11" si="2">IF(J$8="INV", 1,IF(J$8="NAND",(2*$C$4+2)/(1+$C$4),IF(J$8="NOR",(2*$C$4+2)/(1+$C$4),0)))</f>
        <v>0</v>
      </c>
      <c r="K11" s="4">
        <f t="shared" si="2"/>
        <v>0</v>
      </c>
      <c r="L11" s="2">
        <f>IF(L$8="INV", 1,IF(L$8="NAND",2,IF(L$8="NOR",1,0)))</f>
        <v>1</v>
      </c>
    </row>
    <row r="12" spans="1:12" ht="16" thickBot="1" x14ac:dyDescent="0.25">
      <c r="A12" s="18"/>
      <c r="B12" s="22" t="s">
        <v>3</v>
      </c>
      <c r="C12" s="36">
        <v>1</v>
      </c>
      <c r="D12" s="5">
        <f t="shared" ref="D12:K12" si="3">$C$22*C12/(C13*D10)</f>
        <v>1.8504052503555859</v>
      </c>
      <c r="E12" s="6">
        <f t="shared" si="3"/>
        <v>6.8479991810870366</v>
      </c>
      <c r="F12" s="6">
        <f t="shared" si="3"/>
        <v>19.71133677195543</v>
      </c>
      <c r="G12" s="6">
        <f t="shared" si="3"/>
        <v>72.947922108706905</v>
      </c>
      <c r="H12" s="6">
        <f t="shared" si="3"/>
        <v>3.2808421059283712</v>
      </c>
      <c r="I12" s="6">
        <f t="shared" si="3"/>
        <v>7.0827020347971255</v>
      </c>
      <c r="J12" s="6">
        <f t="shared" si="3"/>
        <v>26.211738063785585</v>
      </c>
      <c r="K12" s="7">
        <f t="shared" si="3"/>
        <v>97.00467546834841</v>
      </c>
      <c r="L12">
        <v>1</v>
      </c>
    </row>
    <row r="13" spans="1:12" ht="16" thickBot="1" x14ac:dyDescent="0.25">
      <c r="A13" s="18"/>
      <c r="B13" s="22" t="s">
        <v>18</v>
      </c>
      <c r="C13" s="37">
        <v>2</v>
      </c>
      <c r="D13" s="37">
        <f t="shared" ref="D13:J13" si="4">IF(D8="NONE",1,E9)</f>
        <v>1</v>
      </c>
      <c r="E13" s="37">
        <v>1</v>
      </c>
      <c r="F13" s="37">
        <f t="shared" si="4"/>
        <v>1</v>
      </c>
      <c r="G13" s="37">
        <v>64</v>
      </c>
      <c r="H13" s="37">
        <v>1</v>
      </c>
      <c r="I13" s="37">
        <f t="shared" si="4"/>
        <v>1</v>
      </c>
      <c r="J13" s="37">
        <f t="shared" si="4"/>
        <v>1</v>
      </c>
      <c r="K13" s="37">
        <f>IF(K8="NONE",1,L9)</f>
        <v>1</v>
      </c>
    </row>
    <row r="14" spans="1:12" ht="16" thickBot="1" x14ac:dyDescent="0.25">
      <c r="A14" s="18"/>
      <c r="B14" s="22" t="s">
        <v>20</v>
      </c>
      <c r="C14" s="10">
        <v>1</v>
      </c>
      <c r="D14" s="11">
        <v>1</v>
      </c>
      <c r="E14" s="12">
        <v>1</v>
      </c>
      <c r="F14" s="12">
        <v>1</v>
      </c>
      <c r="G14" s="12">
        <v>1</v>
      </c>
      <c r="H14" s="12">
        <v>1</v>
      </c>
      <c r="I14" s="12">
        <v>1</v>
      </c>
      <c r="J14" s="12">
        <v>1</v>
      </c>
      <c r="K14" s="13"/>
      <c r="L14" s="4">
        <f>L12</f>
        <v>1</v>
      </c>
    </row>
    <row r="15" spans="1:12" x14ac:dyDescent="0.2">
      <c r="B15" s="22" t="s">
        <v>44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/>
    </row>
    <row r="16" spans="1:12" x14ac:dyDescent="0.2">
      <c r="B16" s="23"/>
      <c r="C16" s="8">
        <f t="shared" ref="C16:F16" si="5">(IF(D8="NONE",$L10,D10)/C10)*(IF(D8="NONE",$L9*$L14*C10*C13+C15,D9*D14*C10*C13+C15)/C14)</f>
        <v>2</v>
      </c>
      <c r="D16" s="8">
        <f t="shared" si="5"/>
        <v>1</v>
      </c>
      <c r="E16" s="8">
        <f t="shared" si="5"/>
        <v>1.2857142857142858</v>
      </c>
      <c r="F16" s="8">
        <f t="shared" si="5"/>
        <v>1</v>
      </c>
      <c r="G16" s="8">
        <f>(IF(H8="NONE",$L10,H10)/G10)*(IF(H8="NONE",$L9*$L14*G10*G13+G15,H9*H14*G10*G13+G15)/G14)</f>
        <v>82.285714285714292</v>
      </c>
      <c r="H16" s="8">
        <f t="shared" ref="H16:K16" si="6">(IF(I8="NONE",$L10,I10)/H10)*(IF(I8="NONE",$L9*$L14*H10*H13+H15,I9*I14*H10*H13+H15)/H14)</f>
        <v>1.7142857142857144</v>
      </c>
      <c r="I16" s="8">
        <f t="shared" si="6"/>
        <v>26.211738063785621</v>
      </c>
      <c r="J16" s="8">
        <f t="shared" si="6"/>
        <v>26.211738063785621</v>
      </c>
      <c r="K16" s="8" t="e">
        <f t="shared" si="6"/>
        <v>#DIV/0!</v>
      </c>
    </row>
    <row r="17" spans="2:10" x14ac:dyDescent="0.2">
      <c r="B17" s="22" t="s">
        <v>21</v>
      </c>
      <c r="C17" s="8">
        <f>SUM(C11:K11)+SUMIF(C8:K8,"&lt;&gt;NONE",C16:K16)</f>
        <v>125.49745234949991</v>
      </c>
    </row>
    <row r="20" spans="2:10" x14ac:dyDescent="0.2">
      <c r="E20" s="34" t="s">
        <v>45</v>
      </c>
      <c r="F20" s="33"/>
      <c r="G20" s="27"/>
      <c r="H20" s="27"/>
      <c r="I20" s="27"/>
      <c r="J20" s="28"/>
    </row>
    <row r="21" spans="2:10" x14ac:dyDescent="0.2">
      <c r="B21" s="19" t="s">
        <v>12</v>
      </c>
      <c r="C21" s="14">
        <f>COUNTIF(C8:K8,"&lt;&gt;NONE")</f>
        <v>7</v>
      </c>
      <c r="E21" s="2"/>
      <c r="J21" s="29"/>
    </row>
    <row r="22" spans="2:10" x14ac:dyDescent="0.2">
      <c r="B22" s="19" t="s">
        <v>13</v>
      </c>
      <c r="C22" s="14">
        <f>POWER(C23*C24*C25,1/C21)</f>
        <v>3.7008105007111718</v>
      </c>
      <c r="E22" s="2"/>
      <c r="F22" s="14"/>
      <c r="G22" t="s">
        <v>46</v>
      </c>
      <c r="J22" s="29"/>
    </row>
    <row r="23" spans="2:10" x14ac:dyDescent="0.2">
      <c r="B23" s="19" t="s">
        <v>14</v>
      </c>
      <c r="C23" s="14">
        <f>(L9*L10*L12)/(C10*C12)</f>
        <v>26.211738063785621</v>
      </c>
      <c r="E23" s="2"/>
      <c r="F23" s="24"/>
      <c r="G23" t="s">
        <v>47</v>
      </c>
      <c r="J23" s="29"/>
    </row>
    <row r="24" spans="2:10" x14ac:dyDescent="0.2">
      <c r="B24" s="19" t="s">
        <v>15</v>
      </c>
      <c r="C24" s="14">
        <f>PRODUCT(C10:K10)</f>
        <v>2.8338192419825075</v>
      </c>
      <c r="E24" s="2"/>
      <c r="F24" s="25"/>
      <c r="G24" t="s">
        <v>48</v>
      </c>
      <c r="J24" s="29"/>
    </row>
    <row r="25" spans="2:10" x14ac:dyDescent="0.2">
      <c r="B25" s="19" t="s">
        <v>16</v>
      </c>
      <c r="C25" s="14">
        <f>PRODUCT(C13:K13)</f>
        <v>128</v>
      </c>
      <c r="E25" s="2"/>
      <c r="F25" s="26"/>
      <c r="G25" t="s">
        <v>49</v>
      </c>
      <c r="J25" s="29"/>
    </row>
    <row r="26" spans="2:10" x14ac:dyDescent="0.2">
      <c r="B26" s="19" t="s">
        <v>19</v>
      </c>
      <c r="C26" s="14">
        <f>SUM(C11:K11)+C21*C22</f>
        <v>35.905673504978203</v>
      </c>
      <c r="E26" s="30"/>
      <c r="F26" s="31"/>
      <c r="G26" s="31"/>
      <c r="H26" s="31"/>
      <c r="I26" s="31"/>
      <c r="J26" s="32"/>
    </row>
    <row r="31" spans="2:10" x14ac:dyDescent="0.2">
      <c r="B31" t="s">
        <v>50</v>
      </c>
    </row>
    <row r="33" spans="2:10" x14ac:dyDescent="0.2">
      <c r="B33" t="s">
        <v>23</v>
      </c>
      <c r="F33" t="s">
        <v>24</v>
      </c>
      <c r="G33">
        <v>135</v>
      </c>
      <c r="H33" t="s">
        <v>25</v>
      </c>
    </row>
    <row r="34" spans="2:10" x14ac:dyDescent="0.2">
      <c r="F34" t="s">
        <v>26</v>
      </c>
      <c r="G34">
        <v>38</v>
      </c>
      <c r="H34" t="s">
        <v>27</v>
      </c>
    </row>
    <row r="35" spans="2:10" x14ac:dyDescent="0.2">
      <c r="F35" t="s">
        <v>28</v>
      </c>
      <c r="G35">
        <v>35</v>
      </c>
      <c r="H35" t="s">
        <v>25</v>
      </c>
    </row>
    <row r="36" spans="2:10" x14ac:dyDescent="0.2">
      <c r="F36" t="s">
        <v>29</v>
      </c>
      <c r="G36">
        <v>2.1</v>
      </c>
      <c r="H36" t="s">
        <v>27</v>
      </c>
    </row>
    <row r="41" spans="2:10" x14ac:dyDescent="0.2">
      <c r="B41" t="s">
        <v>31</v>
      </c>
      <c r="F41" t="s">
        <v>30</v>
      </c>
      <c r="G41">
        <v>7.5700000000000003E-2</v>
      </c>
      <c r="H41" t="s">
        <v>27</v>
      </c>
      <c r="I41" t="s">
        <v>32</v>
      </c>
    </row>
    <row r="43" spans="2:10" x14ac:dyDescent="0.2">
      <c r="F43" t="s">
        <v>43</v>
      </c>
      <c r="G43">
        <v>2</v>
      </c>
      <c r="H43" t="s">
        <v>34</v>
      </c>
    </row>
    <row r="45" spans="2:10" x14ac:dyDescent="0.2">
      <c r="F45" t="s">
        <v>33</v>
      </c>
      <c r="G45">
        <f>G36/G41</f>
        <v>27.741083223249671</v>
      </c>
      <c r="H45" t="s">
        <v>34</v>
      </c>
    </row>
    <row r="47" spans="2:10" x14ac:dyDescent="0.2">
      <c r="F47" t="s">
        <v>35</v>
      </c>
      <c r="G47">
        <f>G45+32*G43</f>
        <v>91.741083223249674</v>
      </c>
      <c r="H47" t="s">
        <v>34</v>
      </c>
      <c r="I47">
        <f>G47/(3.5)</f>
        <v>26.211738063785621</v>
      </c>
      <c r="J47" t="s">
        <v>36</v>
      </c>
    </row>
    <row r="52" spans="2:4" x14ac:dyDescent="0.2">
      <c r="B52" t="s">
        <v>52</v>
      </c>
      <c r="C52">
        <v>6</v>
      </c>
      <c r="D52">
        <v>7</v>
      </c>
    </row>
    <row r="53" spans="2:4" x14ac:dyDescent="0.2">
      <c r="B53" t="s">
        <v>51</v>
      </c>
      <c r="C53">
        <f>ROUND(H12,0)</f>
        <v>3</v>
      </c>
      <c r="D53">
        <f>ROUND(I12,0)</f>
        <v>7</v>
      </c>
    </row>
  </sheetData>
  <conditionalFormatting sqref="C8:K8">
    <cfRule type="containsText" dxfId="14" priority="2" operator="containsText" text="NONE">
      <formula>NOT(ISERROR(SEARCH("NONE",C8)))</formula>
    </cfRule>
    <cfRule type="cellIs" dxfId="13" priority="3" operator="equal">
      <formula>"""NONE"""</formula>
    </cfRule>
    <cfRule type="cellIs" dxfId="12" priority="4" operator="equal">
      <formula>"""NONE"""</formula>
    </cfRule>
  </conditionalFormatting>
  <conditionalFormatting sqref="D12">
    <cfRule type="containsText" dxfId="11" priority="5" operator="containsText" text="NONE">
      <formula>NOT(ISERROR(SEARCH("NONE",D12)))</formula>
    </cfRule>
  </conditionalFormatting>
  <conditionalFormatting sqref="D14">
    <cfRule type="containsText" dxfId="10" priority="1" operator="containsText" text="NONE">
      <formula>NOT(ISERROR(SEARCH("NONE",D14)))</formula>
    </cfRule>
  </conditionalFormatting>
  <dataValidations disablePrompts="1" count="1">
    <dataValidation type="list" allowBlank="1" showInputMessage="1" showErrorMessage="1" sqref="C8:L8" xr:uid="{4B98A79F-6581-2447-859E-49C50BCE7CB5}">
      <formula1>"INV,NAND,NOR,NONE"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479C8-7BC6-CE4C-8EEC-CE6BEDF12773}">
  <dimension ref="A2:L43"/>
  <sheetViews>
    <sheetView topLeftCell="A5" zoomScale="175" workbookViewId="0">
      <selection activeCell="C14" sqref="C14"/>
    </sheetView>
  </sheetViews>
  <sheetFormatPr baseColWidth="10" defaultColWidth="8.83203125" defaultRowHeight="15" x14ac:dyDescent="0.2"/>
  <cols>
    <col min="2" max="2" width="13.6640625" customWidth="1"/>
    <col min="4" max="4" width="12.33203125" customWidth="1"/>
    <col min="11" max="11" width="9" customWidth="1"/>
    <col min="12" max="12" width="8.83203125" style="2"/>
  </cols>
  <sheetData>
    <row r="2" spans="1:12" ht="19" x14ac:dyDescent="0.25">
      <c r="B2" s="1" t="s">
        <v>0</v>
      </c>
    </row>
    <row r="4" spans="1:12" x14ac:dyDescent="0.2">
      <c r="B4" s="19" t="s">
        <v>5</v>
      </c>
      <c r="C4" s="35">
        <v>2.5</v>
      </c>
    </row>
    <row r="6" spans="1:12" x14ac:dyDescent="0.2">
      <c r="B6" s="16" t="s">
        <v>1</v>
      </c>
      <c r="C6" s="39">
        <v>1</v>
      </c>
      <c r="D6" s="39">
        <v>2</v>
      </c>
      <c r="E6" s="39">
        <v>3</v>
      </c>
      <c r="F6" s="39">
        <v>4</v>
      </c>
      <c r="G6" s="39">
        <v>5</v>
      </c>
      <c r="H6" s="39">
        <v>6</v>
      </c>
      <c r="I6" s="39">
        <v>7</v>
      </c>
      <c r="J6" s="39">
        <v>8</v>
      </c>
      <c r="K6" s="39">
        <v>9</v>
      </c>
      <c r="L6" s="20" t="s">
        <v>11</v>
      </c>
    </row>
    <row r="7" spans="1:12" x14ac:dyDescent="0.2">
      <c r="B7" s="17"/>
    </row>
    <row r="8" spans="1:12" x14ac:dyDescent="0.2">
      <c r="B8" s="22" t="s">
        <v>2</v>
      </c>
      <c r="C8" s="15" t="s">
        <v>7</v>
      </c>
      <c r="D8" s="15" t="s">
        <v>7</v>
      </c>
      <c r="E8" s="15" t="s">
        <v>7</v>
      </c>
      <c r="F8" s="15" t="s">
        <v>8</v>
      </c>
      <c r="G8" s="15" t="s">
        <v>7</v>
      </c>
      <c r="H8" s="15" t="s">
        <v>17</v>
      </c>
      <c r="I8" s="15" t="s">
        <v>17</v>
      </c>
      <c r="J8" s="15" t="s">
        <v>17</v>
      </c>
      <c r="K8" s="15" t="s">
        <v>17</v>
      </c>
      <c r="L8" s="3" t="s">
        <v>7</v>
      </c>
    </row>
    <row r="9" spans="1:12" x14ac:dyDescent="0.2">
      <c r="B9" s="22" t="s">
        <v>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 s="38">
        <f>H40</f>
        <v>390.28043026986222</v>
      </c>
    </row>
    <row r="10" spans="1:12" ht="15" customHeight="1" x14ac:dyDescent="0.2">
      <c r="A10" s="21"/>
      <c r="B10" s="22" t="s">
        <v>6</v>
      </c>
      <c r="C10" s="4">
        <f>IF(C$8="INV", 1+$C$4,IF(C$8="NAND",2+$C$4,IF(C$8="NOR",1+2*$C$4,(1+$C$4))))/(1+$C$4)</f>
        <v>1</v>
      </c>
      <c r="D10" s="4">
        <f t="shared" ref="D10:L10" si="0">IF(D$8="INV", 1+$C$4,IF(D$8="NAND",2+$C$4,IF(D$8="NOR",1+2*$C$4,(1+$C$4))))/(1+$C$4)</f>
        <v>1</v>
      </c>
      <c r="E10" s="4">
        <f t="shared" si="0"/>
        <v>1</v>
      </c>
      <c r="F10" s="4">
        <f t="shared" si="0"/>
        <v>1.2857142857142858</v>
      </c>
      <c r="G10" s="4">
        <f t="shared" si="0"/>
        <v>1</v>
      </c>
      <c r="H10" s="4">
        <f t="shared" si="0"/>
        <v>1</v>
      </c>
      <c r="I10" s="4">
        <f t="shared" si="0"/>
        <v>1</v>
      </c>
      <c r="J10" s="4">
        <f t="shared" si="0"/>
        <v>1</v>
      </c>
      <c r="K10" s="4">
        <f t="shared" si="0"/>
        <v>1</v>
      </c>
      <c r="L10" s="4">
        <f t="shared" si="0"/>
        <v>1</v>
      </c>
    </row>
    <row r="11" spans="1:12" ht="16" thickBot="1" x14ac:dyDescent="0.25">
      <c r="A11" s="18"/>
      <c r="B11" s="22" t="s">
        <v>10</v>
      </c>
      <c r="C11" s="4">
        <f t="shared" ref="C11:H11" si="1">IF(C$8="INV", 1,IF(C$8="NAND",(2*$C$4+2)/(1+$C$4),IF(C$8="NOR",(2*$C$4+2)/(1+$C$4),0)))</f>
        <v>1</v>
      </c>
      <c r="D11" s="4">
        <f t="shared" si="1"/>
        <v>1</v>
      </c>
      <c r="E11" s="4">
        <f t="shared" si="1"/>
        <v>1</v>
      </c>
      <c r="F11" s="4">
        <f t="shared" si="1"/>
        <v>2</v>
      </c>
      <c r="G11" s="4">
        <f t="shared" si="1"/>
        <v>1</v>
      </c>
      <c r="H11" s="4">
        <f t="shared" si="1"/>
        <v>0</v>
      </c>
      <c r="I11" s="4">
        <f>IF(I$8="INV", 1,IF(I$8="NAND",(2*$C$4+2)/(1+$C$4),IF(I$8="NOR",(2*$C$4+2)/(1+$C$4),0)))</f>
        <v>0</v>
      </c>
      <c r="J11" s="4">
        <f t="shared" ref="J11:K11" si="2">IF(J$8="INV", 1,IF(J$8="NAND",(2*$C$4+2)/(1+$C$4),IF(J$8="NOR",(2*$C$4+2)/(1+$C$4),0)))</f>
        <v>0</v>
      </c>
      <c r="K11" s="4">
        <f t="shared" si="2"/>
        <v>0</v>
      </c>
      <c r="L11" s="2">
        <f>IF(L$8="INV", 1,IF(L$8="NAND",2,IF(L$8="NOR",1,0)))</f>
        <v>1</v>
      </c>
    </row>
    <row r="12" spans="1:12" ht="16" thickBot="1" x14ac:dyDescent="0.25">
      <c r="A12" s="18"/>
      <c r="B12" s="22" t="s">
        <v>3</v>
      </c>
      <c r="C12" s="36">
        <v>1</v>
      </c>
      <c r="D12" s="5">
        <f t="shared" ref="D12:K12" si="3">$C$22*C12/(C13*D10)</f>
        <v>1.991958344899954</v>
      </c>
      <c r="E12" s="6">
        <f t="shared" si="3"/>
        <v>7.9357960956331288</v>
      </c>
      <c r="F12" s="6">
        <f t="shared" si="3"/>
        <v>24.589872620632484</v>
      </c>
      <c r="G12" s="6">
        <f t="shared" si="3"/>
        <v>97.964003933391552</v>
      </c>
      <c r="H12" s="6">
        <f t="shared" si="3"/>
        <v>390.28043026986245</v>
      </c>
      <c r="I12" s="6">
        <f t="shared" si="3"/>
        <v>1554.8447198543943</v>
      </c>
      <c r="J12" s="6">
        <f t="shared" si="3"/>
        <v>6194.3718294751843</v>
      </c>
      <c r="K12" s="7">
        <f t="shared" si="3"/>
        <v>24677.861314272577</v>
      </c>
      <c r="L12">
        <v>1</v>
      </c>
    </row>
    <row r="13" spans="1:12" ht="16" thickBot="1" x14ac:dyDescent="0.25">
      <c r="A13" s="18"/>
      <c r="B13" s="22" t="s">
        <v>18</v>
      </c>
      <c r="C13" s="37">
        <v>2</v>
      </c>
      <c r="D13" s="37">
        <f t="shared" ref="D13" si="4">IF(D8="NONE",1,E9)</f>
        <v>1</v>
      </c>
      <c r="E13" s="37">
        <v>1</v>
      </c>
      <c r="F13" s="37">
        <f t="shared" ref="F13:J13" si="5">IF(F8="NONE",1,G9)</f>
        <v>1</v>
      </c>
      <c r="G13" s="37">
        <v>1</v>
      </c>
      <c r="H13" s="37">
        <v>1</v>
      </c>
      <c r="I13" s="37">
        <f t="shared" si="5"/>
        <v>1</v>
      </c>
      <c r="J13" s="37">
        <f t="shared" si="5"/>
        <v>1</v>
      </c>
      <c r="K13" s="37">
        <f>IF(K8="NONE",1,L9)</f>
        <v>1</v>
      </c>
    </row>
    <row r="14" spans="1:12" ht="16" thickBot="1" x14ac:dyDescent="0.25">
      <c r="A14" s="18"/>
      <c r="B14" s="22" t="s">
        <v>20</v>
      </c>
      <c r="C14" s="10">
        <v>1</v>
      </c>
      <c r="D14" s="11">
        <v>1</v>
      </c>
      <c r="E14" s="12">
        <v>1</v>
      </c>
      <c r="F14" s="12">
        <v>1</v>
      </c>
      <c r="G14" s="12">
        <v>1</v>
      </c>
      <c r="H14" s="12">
        <v>1</v>
      </c>
      <c r="I14" s="12">
        <v>1</v>
      </c>
      <c r="J14" s="12">
        <v>1</v>
      </c>
      <c r="K14" s="13">
        <v>1</v>
      </c>
      <c r="L14" s="4">
        <f>L12</f>
        <v>1</v>
      </c>
    </row>
    <row r="15" spans="1:12" x14ac:dyDescent="0.2">
      <c r="B15" s="22" t="s">
        <v>44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/>
    </row>
    <row r="16" spans="1:12" x14ac:dyDescent="0.2">
      <c r="B16" s="23"/>
      <c r="C16" s="8">
        <f t="shared" ref="C16:F16" si="6">(IF(D8="NONE",$L10,D10)/C10)*(IF(D8="NONE",$L9*$L14*C10*C13+C15,D9*D14*C10*C13+C15)/C14)</f>
        <v>2</v>
      </c>
      <c r="D16" s="8">
        <f t="shared" si="6"/>
        <v>1</v>
      </c>
      <c r="E16" s="8">
        <f t="shared" si="6"/>
        <v>1.2857142857142858</v>
      </c>
      <c r="F16" s="8">
        <f t="shared" si="6"/>
        <v>1</v>
      </c>
      <c r="G16" s="8">
        <f>(IF(H8="NONE",$L10,H10)/G10)*(IF(H8="NONE",$L9*$L14*G10*G13+G15,H9*H14*G10*G13+G15)/G14)</f>
        <v>390.28043026986222</v>
      </c>
      <c r="H16" s="8">
        <f t="shared" ref="H16:K16" si="7">(IF(I8="NONE",$L10,I10)/H10)*(IF(I8="NONE",$L9*$L14*H10*H13+H15,I9*I14*H10*H13+H15)/H14)</f>
        <v>390.28043026986222</v>
      </c>
      <c r="I16" s="8">
        <f t="shared" si="7"/>
        <v>390.28043026986222</v>
      </c>
      <c r="J16" s="8">
        <f t="shared" si="7"/>
        <v>390.28043026986222</v>
      </c>
      <c r="K16" s="8">
        <f t="shared" si="7"/>
        <v>390.28043026986222</v>
      </c>
    </row>
    <row r="17" spans="2:10" x14ac:dyDescent="0.2">
      <c r="B17" s="22" t="s">
        <v>21</v>
      </c>
      <c r="C17" s="8">
        <f>SUM(C11:K11)+SUMIF(C8:K8,"&lt;&gt;NONE",C16:K16)</f>
        <v>401.5661445555765</v>
      </c>
    </row>
    <row r="20" spans="2:10" x14ac:dyDescent="0.2">
      <c r="E20" s="34" t="s">
        <v>45</v>
      </c>
      <c r="F20" s="33"/>
      <c r="G20" s="27"/>
      <c r="H20" s="27"/>
      <c r="I20" s="27"/>
      <c r="J20" s="28"/>
    </row>
    <row r="21" spans="2:10" x14ac:dyDescent="0.2">
      <c r="B21" s="19" t="s">
        <v>12</v>
      </c>
      <c r="C21" s="14">
        <f>COUNTIF(C8:K8,"&lt;&gt;NONE")</f>
        <v>5</v>
      </c>
      <c r="E21" s="2"/>
      <c r="J21" s="29"/>
    </row>
    <row r="22" spans="2:10" x14ac:dyDescent="0.2">
      <c r="B22" s="19" t="s">
        <v>13</v>
      </c>
      <c r="C22" s="14">
        <f>POWER(C23*C24*C25,1/C21)</f>
        <v>3.9839166897999081</v>
      </c>
      <c r="E22" s="2"/>
      <c r="F22" s="14"/>
      <c r="G22" t="s">
        <v>46</v>
      </c>
      <c r="J22" s="29"/>
    </row>
    <row r="23" spans="2:10" x14ac:dyDescent="0.2">
      <c r="B23" s="19" t="s">
        <v>14</v>
      </c>
      <c r="C23" s="14">
        <f>(L9*L10*L12)/(C10*C12)</f>
        <v>390.28043026986222</v>
      </c>
      <c r="E23" s="2"/>
      <c r="F23" s="24"/>
      <c r="G23" t="s">
        <v>47</v>
      </c>
      <c r="J23" s="29"/>
    </row>
    <row r="24" spans="2:10" x14ac:dyDescent="0.2">
      <c r="B24" s="19" t="s">
        <v>15</v>
      </c>
      <c r="C24" s="14">
        <f>PRODUCT(C10:K10)</f>
        <v>1.2857142857142858</v>
      </c>
      <c r="E24" s="2"/>
      <c r="F24" s="25"/>
      <c r="G24" t="s">
        <v>48</v>
      </c>
      <c r="J24" s="29"/>
    </row>
    <row r="25" spans="2:10" x14ac:dyDescent="0.2">
      <c r="B25" s="19" t="s">
        <v>16</v>
      </c>
      <c r="C25" s="14">
        <f>PRODUCT(C13:K13)</f>
        <v>2</v>
      </c>
      <c r="E25" s="2"/>
      <c r="F25" s="26"/>
      <c r="G25" t="s">
        <v>49</v>
      </c>
      <c r="J25" s="29"/>
    </row>
    <row r="26" spans="2:10" x14ac:dyDescent="0.2">
      <c r="B26" s="19" t="s">
        <v>19</v>
      </c>
      <c r="C26" s="14">
        <f>SUM(C11:K11)+C21*C22</f>
        <v>25.919583448999539</v>
      </c>
      <c r="E26" s="30"/>
      <c r="F26" s="31"/>
      <c r="G26" s="31"/>
      <c r="H26" s="31"/>
      <c r="I26" s="31"/>
      <c r="J26" s="32"/>
    </row>
    <row r="31" spans="2:10" x14ac:dyDescent="0.2">
      <c r="B31" t="s">
        <v>50</v>
      </c>
    </row>
    <row r="33" spans="2:9" x14ac:dyDescent="0.2">
      <c r="B33" s="9" t="s">
        <v>40</v>
      </c>
      <c r="C33" s="9"/>
      <c r="D33" s="9"/>
      <c r="E33" s="9"/>
      <c r="F33" s="9"/>
      <c r="G33" s="9"/>
      <c r="H33" s="9"/>
      <c r="I33" s="9"/>
    </row>
    <row r="34" spans="2:9" x14ac:dyDescent="0.2">
      <c r="B34" s="9"/>
      <c r="C34" s="9"/>
      <c r="D34" s="9"/>
      <c r="E34" s="9"/>
      <c r="F34" s="9"/>
      <c r="G34" s="9"/>
      <c r="H34" s="9"/>
      <c r="I34" s="9"/>
    </row>
    <row r="35" spans="2:9" x14ac:dyDescent="0.2">
      <c r="B35" s="9" t="s">
        <v>37</v>
      </c>
      <c r="C35" s="9"/>
      <c r="D35" s="9"/>
      <c r="E35" s="9"/>
      <c r="F35" s="9"/>
      <c r="G35" s="9"/>
      <c r="H35" s="9"/>
      <c r="I35" s="9"/>
    </row>
    <row r="36" spans="2:9" x14ac:dyDescent="0.2">
      <c r="B36" s="9"/>
      <c r="C36" s="9"/>
      <c r="D36" s="9"/>
      <c r="E36" t="s">
        <v>55</v>
      </c>
      <c r="F36">
        <v>64</v>
      </c>
      <c r="I36" s="9"/>
    </row>
    <row r="37" spans="2:9" x14ac:dyDescent="0.2">
      <c r="B37" s="9"/>
      <c r="C37" s="9"/>
      <c r="D37" s="9"/>
      <c r="E37" t="s">
        <v>56</v>
      </c>
      <c r="F37">
        <f>(C4+2)*'2-&gt;4, all'!C53</f>
        <v>13.5</v>
      </c>
      <c r="G37" t="s">
        <v>59</v>
      </c>
      <c r="I37" t="s">
        <v>39</v>
      </c>
    </row>
    <row r="38" spans="2:9" x14ac:dyDescent="0.2">
      <c r="B38" s="9"/>
      <c r="C38" s="9"/>
      <c r="D38" s="9"/>
      <c r="E38" t="s">
        <v>38</v>
      </c>
      <c r="F38">
        <f>'1-&gt;2, all'!G34/'1-&gt;2, all'!G41</f>
        <v>501.98150594451783</v>
      </c>
      <c r="G38" t="s">
        <v>39</v>
      </c>
      <c r="H38">
        <f>F38/(1+C4)</f>
        <v>143.42328741271939</v>
      </c>
      <c r="I38" s="9" t="s">
        <v>22</v>
      </c>
    </row>
    <row r="39" spans="2:9" x14ac:dyDescent="0.2">
      <c r="B39" s="9"/>
      <c r="C39" s="9"/>
      <c r="D39" s="9"/>
      <c r="I39" s="9"/>
    </row>
    <row r="40" spans="2:9" x14ac:dyDescent="0.2">
      <c r="B40" s="9"/>
      <c r="C40" s="9"/>
      <c r="D40" s="9"/>
      <c r="E40" t="s">
        <v>57</v>
      </c>
      <c r="F40">
        <f>F36*F37+F38</f>
        <v>1365.9815059445177</v>
      </c>
      <c r="G40" t="s">
        <v>39</v>
      </c>
      <c r="H40">
        <f>F40/(1+C4)</f>
        <v>390.28043026986222</v>
      </c>
      <c r="I40" s="9" t="s">
        <v>22</v>
      </c>
    </row>
    <row r="42" spans="2:9" x14ac:dyDescent="0.2">
      <c r="B42" t="s">
        <v>52</v>
      </c>
      <c r="C42">
        <v>2</v>
      </c>
      <c r="D42">
        <v>3</v>
      </c>
      <c r="E42">
        <v>4</v>
      </c>
      <c r="F42">
        <v>5</v>
      </c>
    </row>
    <row r="43" spans="2:9" x14ac:dyDescent="0.2">
      <c r="B43" t="s">
        <v>51</v>
      </c>
      <c r="C43">
        <f>ROUND(D12,0)</f>
        <v>2</v>
      </c>
      <c r="D43">
        <f t="shared" ref="D43:F43" si="8">ROUND(E12,0)</f>
        <v>8</v>
      </c>
      <c r="E43">
        <f t="shared" si="8"/>
        <v>25</v>
      </c>
      <c r="F43">
        <f t="shared" si="8"/>
        <v>98</v>
      </c>
    </row>
  </sheetData>
  <conditionalFormatting sqref="C8:K8">
    <cfRule type="containsText" dxfId="9" priority="1" operator="containsText" text="NONE">
      <formula>NOT(ISERROR(SEARCH("NONE",C8)))</formula>
    </cfRule>
    <cfRule type="cellIs" dxfId="8" priority="2" operator="equal">
      <formula>"""NONE"""</formula>
    </cfRule>
    <cfRule type="cellIs" dxfId="7" priority="3" operator="equal">
      <formula>"""NONE"""</formula>
    </cfRule>
  </conditionalFormatting>
  <conditionalFormatting sqref="D12">
    <cfRule type="containsText" dxfId="6" priority="8" operator="containsText" text="NONE">
      <formula>NOT(ISERROR(SEARCH("NONE",D12)))</formula>
    </cfRule>
  </conditionalFormatting>
  <conditionalFormatting sqref="D14">
    <cfRule type="containsText" dxfId="5" priority="4" operator="containsText" text="NONE">
      <formula>NOT(ISERROR(SEARCH("NONE",D14)))</formula>
    </cfRule>
  </conditionalFormatting>
  <dataValidations count="1">
    <dataValidation type="list" allowBlank="1" showInputMessage="1" showErrorMessage="1" sqref="C8:L8" xr:uid="{775BF73B-6D89-F145-8652-8B1B315B84D9}">
      <formula1>"INV,NAND,NOR,NONE"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9CE38-41D2-4242-867B-AB01640C5D65}">
  <dimension ref="A2:L53"/>
  <sheetViews>
    <sheetView topLeftCell="A8" zoomScale="171" workbookViewId="0">
      <selection activeCell="K18" sqref="K18"/>
    </sheetView>
  </sheetViews>
  <sheetFormatPr baseColWidth="10" defaultColWidth="8.83203125" defaultRowHeight="15" x14ac:dyDescent="0.2"/>
  <cols>
    <col min="2" max="2" width="13.6640625" customWidth="1"/>
    <col min="4" max="4" width="12.33203125" customWidth="1"/>
    <col min="11" max="11" width="9" customWidth="1"/>
    <col min="12" max="12" width="8.83203125" style="2"/>
  </cols>
  <sheetData>
    <row r="2" spans="1:12" ht="19" x14ac:dyDescent="0.25">
      <c r="B2" s="1" t="s">
        <v>0</v>
      </c>
    </row>
    <row r="4" spans="1:12" x14ac:dyDescent="0.2">
      <c r="B4" s="19" t="s">
        <v>5</v>
      </c>
      <c r="C4" s="35">
        <v>2.5</v>
      </c>
    </row>
    <row r="6" spans="1:12" x14ac:dyDescent="0.2">
      <c r="B6" s="16" t="s">
        <v>1</v>
      </c>
      <c r="C6" s="39">
        <v>1</v>
      </c>
      <c r="D6" s="39">
        <v>2</v>
      </c>
      <c r="E6" s="39">
        <v>3</v>
      </c>
      <c r="F6" s="39">
        <v>4</v>
      </c>
      <c r="G6" s="39">
        <v>5</v>
      </c>
      <c r="H6" s="39">
        <v>6</v>
      </c>
      <c r="I6" s="39">
        <v>7</v>
      </c>
      <c r="J6" s="39">
        <v>8</v>
      </c>
      <c r="K6" s="39">
        <v>9</v>
      </c>
      <c r="L6" s="20" t="s">
        <v>11</v>
      </c>
    </row>
    <row r="7" spans="1:12" x14ac:dyDescent="0.2">
      <c r="B7" s="17"/>
    </row>
    <row r="8" spans="1:12" x14ac:dyDescent="0.2">
      <c r="B8" s="22" t="s">
        <v>2</v>
      </c>
      <c r="C8" s="15" t="s">
        <v>7</v>
      </c>
      <c r="D8" s="15" t="s">
        <v>7</v>
      </c>
      <c r="E8" s="15" t="s">
        <v>7</v>
      </c>
      <c r="F8" s="15" t="s">
        <v>8</v>
      </c>
      <c r="G8" s="15" t="s">
        <v>7</v>
      </c>
      <c r="H8" s="15" t="s">
        <v>8</v>
      </c>
      <c r="I8" s="15" t="s">
        <v>9</v>
      </c>
      <c r="J8" s="15" t="s">
        <v>17</v>
      </c>
      <c r="K8" s="15" t="s">
        <v>17</v>
      </c>
      <c r="L8" s="3" t="s">
        <v>7</v>
      </c>
    </row>
    <row r="9" spans="1:12" x14ac:dyDescent="0.2">
      <c r="B9" s="22" t="s">
        <v>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 s="38">
        <f>'2-&gt;4, all'!L9</f>
        <v>26.211738063785621</v>
      </c>
    </row>
    <row r="10" spans="1:12" ht="15" customHeight="1" x14ac:dyDescent="0.2">
      <c r="A10" s="21"/>
      <c r="B10" s="22" t="s">
        <v>6</v>
      </c>
      <c r="C10" s="4">
        <f>IF(C$8="INV", 1+$C$4,IF(C$8="NAND",2+$C$4,IF(C$8="NOR",1+2*$C$4,(1+$C$4))))/(1+$C$4)</f>
        <v>1</v>
      </c>
      <c r="D10" s="4">
        <f t="shared" ref="D10:L10" si="0">IF(D$8="INV", 1+$C$4,IF(D$8="NAND",2+$C$4,IF(D$8="NOR",1+2*$C$4,(1+$C$4))))/(1+$C$4)</f>
        <v>1</v>
      </c>
      <c r="E10" s="4">
        <f t="shared" si="0"/>
        <v>1</v>
      </c>
      <c r="F10" s="4">
        <f t="shared" si="0"/>
        <v>1.2857142857142858</v>
      </c>
      <c r="G10" s="4">
        <f t="shared" si="0"/>
        <v>1</v>
      </c>
      <c r="H10" s="4">
        <f t="shared" si="0"/>
        <v>1.2857142857142858</v>
      </c>
      <c r="I10" s="4">
        <f t="shared" si="0"/>
        <v>1.7142857142857142</v>
      </c>
      <c r="J10" s="4">
        <f t="shared" si="0"/>
        <v>1</v>
      </c>
      <c r="K10" s="4">
        <f t="shared" si="0"/>
        <v>1</v>
      </c>
      <c r="L10" s="4">
        <f t="shared" si="0"/>
        <v>1</v>
      </c>
    </row>
    <row r="11" spans="1:12" ht="16" thickBot="1" x14ac:dyDescent="0.25">
      <c r="A11" s="18"/>
      <c r="B11" s="22" t="s">
        <v>10</v>
      </c>
      <c r="C11" s="4">
        <f t="shared" ref="C11:H11" si="1">IF(C$8="INV", 1,IF(C$8="NAND",(2*$C$4+2)/(1+$C$4),IF(C$8="NOR",(2*$C$4+2)/(1+$C$4),0)))</f>
        <v>1</v>
      </c>
      <c r="D11" s="4">
        <f t="shared" si="1"/>
        <v>1</v>
      </c>
      <c r="E11" s="4">
        <f t="shared" si="1"/>
        <v>1</v>
      </c>
      <c r="F11" s="4">
        <f t="shared" si="1"/>
        <v>2</v>
      </c>
      <c r="G11" s="4">
        <f t="shared" si="1"/>
        <v>1</v>
      </c>
      <c r="H11" s="4">
        <f t="shared" si="1"/>
        <v>2</v>
      </c>
      <c r="I11" s="4">
        <f>IF(I$8="INV", 1,IF(I$8="NAND",(2*$C$4+2)/(1+$C$4),IF(I$8="NOR",(2*$C$4+2)/(1+$C$4),0)))</f>
        <v>2</v>
      </c>
      <c r="J11" s="4">
        <f t="shared" ref="J11:K11" si="2">IF(J$8="INV", 1,IF(J$8="NAND",(2*$C$4+2)/(1+$C$4),IF(J$8="NOR",(2*$C$4+2)/(1+$C$4),0)))</f>
        <v>0</v>
      </c>
      <c r="K11" s="4">
        <f t="shared" si="2"/>
        <v>0</v>
      </c>
      <c r="L11" s="2">
        <f>IF(L$8="INV", 1,IF(L$8="NAND",2,IF(L$8="NOR",1,0)))</f>
        <v>1</v>
      </c>
    </row>
    <row r="12" spans="1:12" ht="16" thickBot="1" x14ac:dyDescent="0.25">
      <c r="A12" s="18"/>
      <c r="B12" s="22" t="s">
        <v>3</v>
      </c>
      <c r="C12" s="36">
        <v>1</v>
      </c>
      <c r="D12" s="5">
        <f t="shared" ref="D12:K12" si="3">$C$22*C12/(C13*D10)</f>
        <v>1.8504052503555859</v>
      </c>
      <c r="E12" s="6">
        <f t="shared" si="3"/>
        <v>6.8479991810870366</v>
      </c>
      <c r="F12" s="6">
        <f t="shared" si="3"/>
        <v>19.71133677195543</v>
      </c>
      <c r="G12" s="6">
        <f t="shared" si="3"/>
        <v>72.947922108706905</v>
      </c>
      <c r="H12" s="6">
        <f t="shared" si="3"/>
        <v>3.2808421059283712</v>
      </c>
      <c r="I12" s="6">
        <f t="shared" si="3"/>
        <v>7.0827020347971255</v>
      </c>
      <c r="J12" s="6">
        <f t="shared" si="3"/>
        <v>26.211738063785585</v>
      </c>
      <c r="K12" s="7">
        <f t="shared" si="3"/>
        <v>97.00467546834841</v>
      </c>
      <c r="L12">
        <v>1</v>
      </c>
    </row>
    <row r="13" spans="1:12" ht="16" thickBot="1" x14ac:dyDescent="0.25">
      <c r="A13" s="18"/>
      <c r="B13" s="22" t="s">
        <v>18</v>
      </c>
      <c r="C13" s="37">
        <v>2</v>
      </c>
      <c r="D13" s="37">
        <f t="shared" ref="D13:J13" si="4">IF(D8="NONE",1,E9)</f>
        <v>1</v>
      </c>
      <c r="E13" s="37">
        <v>1</v>
      </c>
      <c r="F13" s="37">
        <f t="shared" si="4"/>
        <v>1</v>
      </c>
      <c r="G13" s="37">
        <v>64</v>
      </c>
      <c r="H13" s="37">
        <v>1</v>
      </c>
      <c r="I13" s="37">
        <f t="shared" si="4"/>
        <v>1</v>
      </c>
      <c r="J13" s="37">
        <f t="shared" si="4"/>
        <v>1</v>
      </c>
      <c r="K13" s="37">
        <f>IF(K8="NONE",1,L9)</f>
        <v>1</v>
      </c>
    </row>
    <row r="14" spans="1:12" ht="16" thickBot="1" x14ac:dyDescent="0.25">
      <c r="A14" s="18"/>
      <c r="B14" s="22" t="s">
        <v>20</v>
      </c>
      <c r="C14" s="10">
        <v>1</v>
      </c>
      <c r="D14" s="11">
        <f>'2-&gt;4, first'!C43</f>
        <v>2</v>
      </c>
      <c r="E14" s="11">
        <f>'2-&gt;4, first'!D43</f>
        <v>8</v>
      </c>
      <c r="F14" s="11">
        <f>'2-&gt;4, first'!E43</f>
        <v>25</v>
      </c>
      <c r="G14" s="11">
        <f>'2-&gt;4, first'!F43</f>
        <v>98</v>
      </c>
      <c r="H14" s="12">
        <f>'2-&gt;4, all'!C53</f>
        <v>3</v>
      </c>
      <c r="I14" s="12">
        <f>'2-&gt;4, all'!D53</f>
        <v>7</v>
      </c>
      <c r="J14" s="12"/>
      <c r="K14" s="13"/>
      <c r="L14" s="4">
        <f>L12</f>
        <v>1</v>
      </c>
    </row>
    <row r="15" spans="1:12" x14ac:dyDescent="0.2">
      <c r="B15" s="22" t="s">
        <v>44</v>
      </c>
      <c r="C15" s="10">
        <v>0</v>
      </c>
      <c r="D15" s="10">
        <v>0</v>
      </c>
      <c r="E15" s="10">
        <v>0</v>
      </c>
      <c r="F15" s="10">
        <v>0</v>
      </c>
      <c r="G15" s="10">
        <f>'2-&gt;4, first'!H38</f>
        <v>143.42328741271939</v>
      </c>
      <c r="H15" s="10">
        <v>0</v>
      </c>
      <c r="I15" s="10">
        <v>0</v>
      </c>
      <c r="J15" s="10"/>
      <c r="K15" s="10"/>
      <c r="L15"/>
    </row>
    <row r="16" spans="1:12" x14ac:dyDescent="0.2">
      <c r="B16" s="23"/>
      <c r="C16" s="8">
        <f>(IF(D8="NONE",$L10,D10)/C10)*(IF(D8="NONE",$L9*$L14*C10*C13+C15,D9*D14*C10*C13+C15)/C14)</f>
        <v>4</v>
      </c>
      <c r="D16" s="8">
        <f t="shared" ref="D16:F16" si="5">(IF(E8="NONE",$L10,E10)/D10)*(IF(E8="NONE",$L9*$L14*D10*D13+D15,E9*E14*D10*D13+D15)/D14)</f>
        <v>4</v>
      </c>
      <c r="E16" s="8">
        <f t="shared" si="5"/>
        <v>4.0178571428571432</v>
      </c>
      <c r="F16" s="8">
        <f t="shared" si="5"/>
        <v>3.9200000000000004</v>
      </c>
      <c r="G16" s="8">
        <f>(IF(H8="NONE",$L10,H10)/G10)*(IF(H8="NONE",$L9*$L14*G10*G13+G15,H9*H14*G10*G13+G15)/G14)</f>
        <v>4.4005970651814499</v>
      </c>
      <c r="H16" s="8">
        <f t="shared" ref="H16:I16" si="6">(IF(I8="NONE",$L10,I10)/H10)*(IF(I8="NONE",$L9*$L14*H10*H13+H15,I9*I14*H10*H13+H15)/H14)</f>
        <v>4</v>
      </c>
      <c r="I16" s="8">
        <f t="shared" si="6"/>
        <v>3.7445340091122317</v>
      </c>
      <c r="J16" s="8"/>
      <c r="K16" s="8"/>
    </row>
    <row r="17" spans="2:10" x14ac:dyDescent="0.2">
      <c r="B17" s="22" t="s">
        <v>21</v>
      </c>
      <c r="C17" s="8">
        <f>SUM(C11:K11)+SUMIF(C8:K8,"&lt;&gt;NONE",C16:K16)</f>
        <v>38.082988217150827</v>
      </c>
    </row>
    <row r="20" spans="2:10" x14ac:dyDescent="0.2">
      <c r="E20" s="34" t="s">
        <v>45</v>
      </c>
      <c r="F20" s="33"/>
      <c r="G20" s="27"/>
      <c r="H20" s="27"/>
      <c r="I20" s="27"/>
      <c r="J20" s="28"/>
    </row>
    <row r="21" spans="2:10" x14ac:dyDescent="0.2">
      <c r="B21" s="19" t="s">
        <v>12</v>
      </c>
      <c r="C21" s="14">
        <f>COUNTIF(C8:K8,"&lt;&gt;NONE")</f>
        <v>7</v>
      </c>
      <c r="E21" s="2"/>
      <c r="J21" s="29"/>
    </row>
    <row r="22" spans="2:10" x14ac:dyDescent="0.2">
      <c r="B22" s="19" t="s">
        <v>13</v>
      </c>
      <c r="C22" s="14">
        <f>POWER(C23*C24*C25,1/C21)</f>
        <v>3.7008105007111718</v>
      </c>
      <c r="E22" s="2"/>
      <c r="F22" s="14"/>
      <c r="G22" t="s">
        <v>46</v>
      </c>
      <c r="J22" s="29"/>
    </row>
    <row r="23" spans="2:10" x14ac:dyDescent="0.2">
      <c r="B23" s="19" t="s">
        <v>14</v>
      </c>
      <c r="C23" s="14">
        <f>(L9*L10*L12)/(C10*C12)</f>
        <v>26.211738063785621</v>
      </c>
      <c r="E23" s="2"/>
      <c r="F23" s="24"/>
      <c r="G23" t="s">
        <v>47</v>
      </c>
      <c r="J23" s="29"/>
    </row>
    <row r="24" spans="2:10" x14ac:dyDescent="0.2">
      <c r="B24" s="19" t="s">
        <v>15</v>
      </c>
      <c r="C24" s="14">
        <f>PRODUCT(C10:K10)</f>
        <v>2.8338192419825075</v>
      </c>
      <c r="E24" s="2"/>
      <c r="F24" s="25"/>
      <c r="G24" t="s">
        <v>48</v>
      </c>
      <c r="J24" s="29"/>
    </row>
    <row r="25" spans="2:10" x14ac:dyDescent="0.2">
      <c r="B25" s="19" t="s">
        <v>16</v>
      </c>
      <c r="C25" s="14">
        <f>PRODUCT(C13:K13)</f>
        <v>128</v>
      </c>
      <c r="E25" s="2"/>
      <c r="F25" s="26"/>
      <c r="G25" t="s">
        <v>49</v>
      </c>
      <c r="J25" s="29"/>
    </row>
    <row r="26" spans="2:10" x14ac:dyDescent="0.2">
      <c r="B26" s="19" t="s">
        <v>19</v>
      </c>
      <c r="C26" s="14">
        <f>SUM(C11:K11)+C21*C22</f>
        <v>35.905673504978203</v>
      </c>
      <c r="E26" s="30"/>
      <c r="F26" s="31"/>
      <c r="G26" s="31"/>
      <c r="H26" s="31"/>
      <c r="I26" s="31"/>
      <c r="J26" s="32"/>
    </row>
    <row r="31" spans="2:10" x14ac:dyDescent="0.2">
      <c r="B31" t="s">
        <v>50</v>
      </c>
    </row>
    <row r="33" spans="2:10" x14ac:dyDescent="0.2">
      <c r="B33" t="s">
        <v>54</v>
      </c>
      <c r="C33">
        <f>ROUND(C17,1)</f>
        <v>38.1</v>
      </c>
    </row>
    <row r="35" spans="2:10" x14ac:dyDescent="0.2">
      <c r="B35" t="s">
        <v>58</v>
      </c>
    </row>
    <row r="36" spans="2:10" x14ac:dyDescent="0.2">
      <c r="B36" t="s">
        <v>52</v>
      </c>
      <c r="C36">
        <f>C6</f>
        <v>1</v>
      </c>
      <c r="D36">
        <f t="shared" ref="D36:I36" si="7">D6</f>
        <v>2</v>
      </c>
      <c r="E36">
        <f t="shared" si="7"/>
        <v>3</v>
      </c>
      <c r="F36">
        <f t="shared" si="7"/>
        <v>4</v>
      </c>
      <c r="G36">
        <f t="shared" si="7"/>
        <v>5</v>
      </c>
      <c r="H36">
        <f t="shared" si="7"/>
        <v>6</v>
      </c>
      <c r="I36">
        <f t="shared" si="7"/>
        <v>7</v>
      </c>
    </row>
    <row r="37" spans="2:10" x14ac:dyDescent="0.2">
      <c r="B37" t="s">
        <v>20</v>
      </c>
      <c r="C37">
        <f>C14</f>
        <v>1</v>
      </c>
      <c r="D37">
        <f t="shared" ref="D37:I37" si="8">D14</f>
        <v>2</v>
      </c>
      <c r="E37">
        <f t="shared" si="8"/>
        <v>8</v>
      </c>
      <c r="F37">
        <f t="shared" si="8"/>
        <v>25</v>
      </c>
      <c r="G37">
        <f t="shared" si="8"/>
        <v>98</v>
      </c>
      <c r="H37">
        <f t="shared" si="8"/>
        <v>3</v>
      </c>
      <c r="I37">
        <f t="shared" si="8"/>
        <v>7</v>
      </c>
    </row>
    <row r="45" spans="2:10" x14ac:dyDescent="0.2">
      <c r="F45" t="s">
        <v>33</v>
      </c>
      <c r="G45" t="e">
        <f>G36/G41</f>
        <v>#DIV/0!</v>
      </c>
      <c r="H45" t="s">
        <v>34</v>
      </c>
    </row>
    <row r="47" spans="2:10" x14ac:dyDescent="0.2">
      <c r="F47" t="s">
        <v>35</v>
      </c>
      <c r="G47" t="e">
        <f>G45+32*G43</f>
        <v>#DIV/0!</v>
      </c>
      <c r="H47" t="s">
        <v>34</v>
      </c>
      <c r="I47" t="e">
        <f>G47/(3.5)</f>
        <v>#DIV/0!</v>
      </c>
      <c r="J47" t="s">
        <v>36</v>
      </c>
    </row>
    <row r="52" spans="2:4" x14ac:dyDescent="0.2">
      <c r="B52" t="s">
        <v>52</v>
      </c>
      <c r="C52">
        <v>6</v>
      </c>
      <c r="D52">
        <v>7</v>
      </c>
    </row>
    <row r="53" spans="2:4" x14ac:dyDescent="0.2">
      <c r="B53" t="s">
        <v>51</v>
      </c>
      <c r="C53">
        <f>ROUND(H12,0)</f>
        <v>3</v>
      </c>
      <c r="D53">
        <f>ROUND(I12,0)</f>
        <v>7</v>
      </c>
    </row>
  </sheetData>
  <conditionalFormatting sqref="C8:K8">
    <cfRule type="containsText" dxfId="4" priority="2" operator="containsText" text="NONE">
      <formula>NOT(ISERROR(SEARCH("NONE",C8)))</formula>
    </cfRule>
    <cfRule type="cellIs" dxfId="3" priority="3" operator="equal">
      <formula>"""NONE"""</formula>
    </cfRule>
    <cfRule type="cellIs" dxfId="2" priority="4" operator="equal">
      <formula>"""NONE"""</formula>
    </cfRule>
  </conditionalFormatting>
  <conditionalFormatting sqref="D12">
    <cfRule type="containsText" dxfId="1" priority="5" operator="containsText" text="NONE">
      <formula>NOT(ISERROR(SEARCH("NONE",D12)))</formula>
    </cfRule>
  </conditionalFormatting>
  <conditionalFormatting sqref="D14:G14">
    <cfRule type="containsText" dxfId="0" priority="1" operator="containsText" text="NONE">
      <formula>NOT(ISERROR(SEARCH("NONE",D14)))</formula>
    </cfRule>
  </conditionalFormatting>
  <dataValidations count="1">
    <dataValidation type="list" allowBlank="1" showInputMessage="1" showErrorMessage="1" sqref="C8:L8" xr:uid="{3ADBA206-F5F9-B94D-A0D5-1DB3306AB9E3}">
      <formula1>"INV,NAND,NOR,NONE"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1-&gt;2, all</vt:lpstr>
      <vt:lpstr>1-&gt;2, first</vt:lpstr>
      <vt:lpstr>1-&gt;2,all_with cap</vt:lpstr>
      <vt:lpstr>2-&gt;4, all</vt:lpstr>
      <vt:lpstr>2-&gt;4, first</vt:lpstr>
      <vt:lpstr>2-&gt;4, all_with 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Burg</dc:creator>
  <cp:lastModifiedBy>Ludovic Blanc</cp:lastModifiedBy>
  <dcterms:created xsi:type="dcterms:W3CDTF">2015-06-05T18:17:20Z</dcterms:created>
  <dcterms:modified xsi:type="dcterms:W3CDTF">2024-11-17T10:29:20Z</dcterms:modified>
</cp:coreProperties>
</file>